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J:\VGUTIERREZ\PROEXPORT - PROCOLOMBIA\2018 - 2019  TERMINOS REFREFERENCIA PROCOLOMBIA\ARQUITECTURA EFIMERA - Segunda invita\DOCUMENTOS A PUBLICAR\"/>
    </mc:Choice>
  </mc:AlternateContent>
  <bookViews>
    <workbookView xWindow="0" yWindow="0" windowWidth="19200" windowHeight="6810"/>
  </bookViews>
  <sheets>
    <sheet name="ESTRUCTURAS" sheetId="1" r:id="rId1"/>
    <sheet name="MOBILIARIO" sheetId="2" r:id="rId2"/>
    <sheet name="PERSONAL" sheetId="4" r:id="rId3"/>
    <sheet name="TRANSPORTE" sheetId="6" r:id="rId4"/>
    <sheet name="TÉCNICA" sheetId="5" r:id="rId5"/>
  </sheets>
  <externalReferences>
    <externalReference r:id="rId6"/>
    <externalReference r:id="rId7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9" i="5" l="1"/>
  <c r="F7" i="5"/>
  <c r="E105" i="5"/>
  <c r="E103" i="5"/>
  <c r="E101" i="5"/>
  <c r="E99" i="5"/>
  <c r="E97" i="5"/>
  <c r="E95" i="5"/>
  <c r="E93" i="5"/>
  <c r="E91" i="5"/>
  <c r="E89" i="5"/>
  <c r="E87" i="5"/>
  <c r="E85" i="5"/>
  <c r="E83" i="5"/>
  <c r="E81" i="5"/>
  <c r="E79" i="5"/>
  <c r="E77" i="5"/>
  <c r="E75" i="5"/>
  <c r="E73" i="5"/>
  <c r="E71" i="5"/>
  <c r="E69" i="5"/>
  <c r="E67" i="5"/>
  <c r="E65" i="5"/>
  <c r="E63" i="5"/>
  <c r="E61" i="5"/>
  <c r="E59" i="5"/>
  <c r="E57" i="5"/>
  <c r="E55" i="5"/>
  <c r="E53" i="5"/>
  <c r="E51" i="5"/>
  <c r="E49" i="5"/>
  <c r="E47" i="5"/>
  <c r="E45" i="5"/>
  <c r="E43" i="5"/>
  <c r="E41" i="5"/>
  <c r="E39" i="5"/>
  <c r="E37" i="5"/>
  <c r="E35" i="5"/>
  <c r="E33" i="5"/>
  <c r="E31" i="5"/>
  <c r="E29" i="5"/>
  <c r="E27" i="5"/>
  <c r="E25" i="5"/>
  <c r="E23" i="5"/>
  <c r="E21" i="5"/>
  <c r="E19" i="5"/>
  <c r="E17" i="5"/>
  <c r="E15" i="5"/>
  <c r="E13" i="5"/>
  <c r="E11" i="5"/>
  <c r="E9" i="5"/>
  <c r="E7" i="5"/>
  <c r="F105" i="5" l="1"/>
  <c r="F103" i="5"/>
  <c r="F99" i="5"/>
  <c r="F97" i="5"/>
  <c r="F95" i="5"/>
  <c r="F93" i="5"/>
  <c r="F91" i="5"/>
  <c r="F89" i="5"/>
  <c r="F87" i="5"/>
  <c r="F85" i="5"/>
  <c r="F83" i="5"/>
  <c r="F81" i="5"/>
  <c r="F79" i="5"/>
  <c r="F77" i="5"/>
  <c r="F75" i="5"/>
  <c r="F73" i="5"/>
  <c r="F71" i="5"/>
  <c r="F69" i="5"/>
  <c r="F67" i="5"/>
  <c r="F65" i="5"/>
  <c r="F63" i="5"/>
  <c r="F61" i="5"/>
  <c r="F59" i="5"/>
  <c r="F57" i="5"/>
  <c r="F55" i="5"/>
  <c r="F53" i="5"/>
  <c r="F51" i="5"/>
  <c r="F49" i="5"/>
  <c r="F47" i="5"/>
  <c r="F45" i="5"/>
  <c r="F43" i="5"/>
  <c r="F41" i="5"/>
  <c r="F39" i="5"/>
  <c r="F37" i="5"/>
  <c r="F35" i="5"/>
  <c r="F33" i="5"/>
  <c r="F31" i="5"/>
  <c r="F29" i="5"/>
  <c r="F27" i="5"/>
  <c r="F25" i="5"/>
  <c r="F23" i="5"/>
  <c r="F21" i="5"/>
  <c r="F19" i="5"/>
  <c r="F15" i="5"/>
  <c r="F13" i="5"/>
  <c r="F11" i="5"/>
  <c r="F17" i="5" l="1"/>
  <c r="F16" i="5"/>
  <c r="E16" i="5"/>
  <c r="E14" i="4"/>
  <c r="E13" i="4"/>
  <c r="E12" i="4"/>
  <c r="E10" i="4"/>
  <c r="E28" i="2"/>
  <c r="F101" i="5" l="1"/>
  <c r="F42" i="2" l="1"/>
  <c r="F41" i="2"/>
  <c r="F40" i="2"/>
  <c r="F39" i="2"/>
  <c r="F38" i="2"/>
  <c r="F37" i="2"/>
  <c r="F36" i="2"/>
  <c r="F35" i="2"/>
  <c r="F34" i="2"/>
  <c r="F33" i="2"/>
  <c r="F32" i="2"/>
  <c r="F31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I31" i="1"/>
  <c r="I30" i="1"/>
  <c r="I29" i="1"/>
  <c r="I28" i="1"/>
  <c r="I27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8" i="1"/>
  <c r="I9" i="1"/>
  <c r="I7" i="1"/>
  <c r="F26" i="1"/>
  <c r="I26" i="1" s="1"/>
  <c r="G11" i="6" l="1"/>
  <c r="G10" i="6" l="1"/>
  <c r="G9" i="6"/>
  <c r="D9" i="6"/>
  <c r="G8" i="6"/>
  <c r="G7" i="6"/>
  <c r="G6" i="6"/>
  <c r="F6" i="6"/>
  <c r="E6" i="6"/>
  <c r="E11" i="4" l="1"/>
  <c r="E9" i="4"/>
  <c r="E8" i="4"/>
  <c r="E7" i="4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F30" i="2" s="1"/>
  <c r="E27" i="2"/>
  <c r="E29" i="2" s="1"/>
  <c r="E26" i="2"/>
  <c r="E25" i="2"/>
  <c r="E24" i="2"/>
  <c r="E23" i="2"/>
  <c r="E22" i="2"/>
  <c r="E20" i="2"/>
  <c r="E19" i="2"/>
  <c r="E16" i="2"/>
  <c r="E15" i="2"/>
  <c r="E14" i="2"/>
  <c r="E13" i="2"/>
  <c r="E12" i="2"/>
  <c r="E11" i="2"/>
  <c r="E10" i="2"/>
  <c r="E9" i="2"/>
  <c r="E8" i="2"/>
  <c r="E7" i="2"/>
  <c r="J29" i="1" l="1"/>
  <c r="J25" i="1" l="1"/>
  <c r="J23" i="1"/>
  <c r="J22" i="1"/>
  <c r="J21" i="1"/>
  <c r="J20" i="1"/>
  <c r="J11" i="1"/>
  <c r="J10" i="1"/>
  <c r="F25" i="1" l="1"/>
  <c r="I25" i="1" s="1"/>
  <c r="F24" i="1"/>
  <c r="I24" i="1" s="1"/>
  <c r="F23" i="1"/>
  <c r="I23" i="1" s="1"/>
</calcChain>
</file>

<file path=xl/sharedStrings.xml><?xml version="1.0" encoding="utf-8"?>
<sst xmlns="http://schemas.openxmlformats.org/spreadsheetml/2006/main" count="394" uniqueCount="193">
  <si>
    <t>DESCRIPCIÓN</t>
  </si>
  <si>
    <t>Counter de 2x1mts</t>
  </si>
  <si>
    <t>Counter de 1x1mts</t>
  </si>
  <si>
    <t>Mesa de trabajo 1,20x0,6mts</t>
  </si>
  <si>
    <t>Counter de 5x1mts</t>
  </si>
  <si>
    <t xml:space="preserve">Sillas de trabajo </t>
  </si>
  <si>
    <t>ITEM</t>
  </si>
  <si>
    <t>ITEM A PRODUCIR</t>
  </si>
  <si>
    <t>Pórtico de Acceso de 5x10mts de alto</t>
  </si>
  <si>
    <t>Centro de recarga</t>
  </si>
  <si>
    <t>Totem de 50x50x2,5mts de altura con tomas de cargador multimarca y  puerto USB</t>
  </si>
  <si>
    <t>Góndolas para exhibición con bandeja de 4x2,5 de alto</t>
  </si>
  <si>
    <t>Estructura metálica rectangular con 3 entrepaños, cada uno de 60x40ctms. Caja de luz superior de 4mtx60ctms de alto</t>
  </si>
  <si>
    <t>Góndola sencilla para exhibición de producto con bandeja de 1x2,5mts de alto</t>
  </si>
  <si>
    <t>Estructura metálica con caja de luz en la parte superior de 1mtx60ctms, con 3 entrepaños cada uno de 60x40ctms</t>
  </si>
  <si>
    <t>Racks con ruedas</t>
  </si>
  <si>
    <t>Refrigeradores</t>
  </si>
  <si>
    <t>Congeladores</t>
  </si>
  <si>
    <t>Sillas con sillín blanco o negro, base cromada. Referencia Bar alicante.</t>
  </si>
  <si>
    <t>Mesa alta (tipo coctel)</t>
  </si>
  <si>
    <t>Silla alta (tipo coctel)</t>
  </si>
  <si>
    <t>Estructura horizontal con 3 divisiones con tapa en vidrio curvo y rodachines.</t>
  </si>
  <si>
    <t>Nevera pastelera vertical con rodachines de 5 a 18 pies. Requiere 110 V.</t>
  </si>
  <si>
    <t>Racks modulares de 1,24m de alto x 1m largo x 50cm ancho.</t>
  </si>
  <si>
    <t>Mesa en estructura metálica cromada con tapa en madera laminada.</t>
  </si>
  <si>
    <t>Sofá de 3 puestos</t>
  </si>
  <si>
    <t>Sofa para sala lounge de 3 puestos en cuerina negra.</t>
  </si>
  <si>
    <t>Mesa con base metálica gris plata y base en vidrio redondo.</t>
  </si>
  <si>
    <t xml:space="preserve">Poltrona </t>
  </si>
  <si>
    <t>Poltrona en cuerina blanca o tela gris.</t>
  </si>
  <si>
    <t>Set sala lounge</t>
  </si>
  <si>
    <t>Mesa alta con base metálica gris plata y base en vidrio redondo, con 3 sillas con sillín blanco o negro, base cromada</t>
  </si>
  <si>
    <t xml:space="preserve">Set mesa alta con sillas </t>
  </si>
  <si>
    <t>Incluye 1 sofá de 3 puestos en cuerina negra, 2 poltronas, 1 mesa de centro.</t>
  </si>
  <si>
    <t>Tapete</t>
  </si>
  <si>
    <t xml:space="preserve">Tapete tejido en crudo </t>
  </si>
  <si>
    <t xml:space="preserve">Aforo barra de 2,40x0,60mts </t>
  </si>
  <si>
    <t>Aforo mesa de 1,20x0,60mts</t>
  </si>
  <si>
    <t xml:space="preserve">Matera con plantas para ambientación </t>
  </si>
  <si>
    <t>Matera en madera rectangular de 1x0,30mts de alto con 40ctms de alto, pintada de blanco con plantas.</t>
  </si>
  <si>
    <t>Señalizador exteriores</t>
  </si>
  <si>
    <t>Stand Institucional de 3x3mts</t>
  </si>
  <si>
    <t>Backing de 4x3mts de alto
Exteriores</t>
  </si>
  <si>
    <t>Backing interior doble cara 
de 4,8x2,5mts</t>
  </si>
  <si>
    <t xml:space="preserve">Estructura en bastidores metálicos forrados en banner impreso calidad 144 dpi doble cara, con retornos laterales impresos y revés forrado en lindasoft /Arkansas dependiendo de la imagen y diseño. </t>
  </si>
  <si>
    <t>En madera de 1,5x0,2mts de ancho con vinilo impreso adhesivo por 2 cara. Con opción de cambio de gráfica por evento</t>
  </si>
  <si>
    <t>Aforo en poliestinero pegado a la mesa base con cinta doble cara impreso a full color con laterales (forma U)</t>
  </si>
  <si>
    <t>Aforo en poliestinero pegado a la mesa base con cinta doble caraimpreso a full color con laterales (forma U)</t>
  </si>
  <si>
    <t>Pantalla LED 4x3 pitch 4mm</t>
  </si>
  <si>
    <t>Pantalla LED 5x3 pitch 4mm</t>
  </si>
  <si>
    <t>Pantalla LED 6x4 pitch 4mm</t>
  </si>
  <si>
    <t>Pantalla LED 8x4 pitch 4mm</t>
  </si>
  <si>
    <t xml:space="preserve">Master para rodar contenidos en audio y video </t>
  </si>
  <si>
    <t xml:space="preserve">Video Wall 3x4mts </t>
  </si>
  <si>
    <t xml:space="preserve">Proyector de 10,000 lumens con telón </t>
  </si>
  <si>
    <t xml:space="preserve">Proyector de 15,000 lumens con telón </t>
  </si>
  <si>
    <t xml:space="preserve">Proyector de 20,000 lumens con telón </t>
  </si>
  <si>
    <t>Circuito Cerrado con grabación y edición a 1 cámara</t>
  </si>
  <si>
    <t>Circuito Cerrado con grabación y edición a 2 cámaras</t>
  </si>
  <si>
    <t>Pantalla plasma con  base pared/piso 40"</t>
  </si>
  <si>
    <t>Pantalla plasma con  base pared/piso 55"</t>
  </si>
  <si>
    <t>Pantalla plasma con  base pared/piso 70"</t>
  </si>
  <si>
    <t>Pantalla LED con estructura autopsoportable y cableado</t>
  </si>
  <si>
    <t>Puesto fijo de video y audio con servidor y mesa de trabajo para rodar contenidos en presentación magistral</t>
  </si>
  <si>
    <t xml:space="preserve">Vide Wall de alta resolución, estructura para soportar pantallas y marco </t>
  </si>
  <si>
    <t>Proyector según calidad con clicker y telón de proyección de 2x3mts mínimo</t>
  </si>
  <si>
    <t>CCTV para grabación de audio y video a 1 cámara. Incluye edición posterior y entrega del material completo en bruto para cliente</t>
  </si>
  <si>
    <t>CCTV para grabación de audio y video a 2 cámaras. Incluye edición posterior y entrega del material completo en bruto para cliente</t>
  </si>
  <si>
    <t xml:space="preserve">TV plasma según tamaño con base a piso o pared, debe incluir control remoto cable VGA y HDMI, así como puerto USB para bajar contenidos </t>
  </si>
  <si>
    <t>Computador portatil con paquete de office actualizado y PDF</t>
  </si>
  <si>
    <t>Computador portatil (mínimo año 2015) con programas actualizados y previamente instalados</t>
  </si>
  <si>
    <t>Pantalla Touch 42"</t>
  </si>
  <si>
    <t>Pantalla Touch 50"</t>
  </si>
  <si>
    <t>Pantalla Touch 80"</t>
  </si>
  <si>
    <t xml:space="preserve">Pantalla HD con estructura para soprotar peso  touch screen </t>
  </si>
  <si>
    <t>Cabeza Movil</t>
  </si>
  <si>
    <t>LED Wash</t>
  </si>
  <si>
    <t>Par LEDS</t>
  </si>
  <si>
    <t>Iluminción Par Led con cableado</t>
  </si>
  <si>
    <t xml:space="preserve">Iluminación con cabeza movil </t>
  </si>
  <si>
    <t xml:space="preserve">Seguidor </t>
  </si>
  <si>
    <t>Iluminación pointer par seguir en stage</t>
  </si>
  <si>
    <t>Consola con dimmer de 24 canales</t>
  </si>
  <si>
    <t>Consola con dimmer de 48 canales</t>
  </si>
  <si>
    <t>Press Box 12 canales</t>
  </si>
  <si>
    <t>Press Box 24 canales</t>
  </si>
  <si>
    <t>Estructura de truss con puente de 6mts</t>
  </si>
  <si>
    <t>Press Box 6 canales</t>
  </si>
  <si>
    <t>Planta eléctrica 100 KW</t>
  </si>
  <si>
    <t>Planta eléctrica 150 KW</t>
  </si>
  <si>
    <t>Planta eléctrica 200 KW</t>
  </si>
  <si>
    <t>Motor para elevar estructuras</t>
  </si>
  <si>
    <t>Sistema de audio con cabinas para 50 PAX</t>
  </si>
  <si>
    <t>Sistema de audio con cabinas para 100 PAX</t>
  </si>
  <si>
    <t>Sistema de audio con cabinas para 250 PAX</t>
  </si>
  <si>
    <t>Sistema de audio con cabinas para 350 PAX</t>
  </si>
  <si>
    <t>Sistema de audio con cabinas para 500 PAX</t>
  </si>
  <si>
    <t>Sistema de audio con cabinas para 1000 PAX</t>
  </si>
  <si>
    <t>Sistema de microfonía (5 micrófonos inalámbricos)</t>
  </si>
  <si>
    <t>Micrófono inalámbrico unidad</t>
  </si>
  <si>
    <t>Micrófono de solapa</t>
  </si>
  <si>
    <t>Micrófono de diadema</t>
  </si>
  <si>
    <t>Micrófono con base a piso o a mesa</t>
  </si>
  <si>
    <t>Dj con mixer y técnica</t>
  </si>
  <si>
    <t>Impresora laser B/N</t>
  </si>
  <si>
    <t>Impresora laser color</t>
  </si>
  <si>
    <t>Impresora multifuncional</t>
  </si>
  <si>
    <t>LUV</t>
  </si>
  <si>
    <t>NKR (350)</t>
  </si>
  <si>
    <t>NPR (TURBO)</t>
  </si>
  <si>
    <t>SENCILLO</t>
  </si>
  <si>
    <t>TRANSPORTE DE CARGA DESDE BOGOTÁ</t>
  </si>
  <si>
    <t>Instalador vinilios adhesivos</t>
  </si>
  <si>
    <t xml:space="preserve">Centro de Operaciones básico </t>
  </si>
  <si>
    <t xml:space="preserve">Centro de Operaciones  con 4 caras de atención </t>
  </si>
  <si>
    <t>Barra de recarga</t>
  </si>
  <si>
    <t>Sillas acrílica negra tipo oficina con patas metálicas.</t>
  </si>
  <si>
    <t xml:space="preserve">Silla gerencial </t>
  </si>
  <si>
    <t>Sillas de trabajo con paño</t>
  </si>
  <si>
    <t>Mesa de centro sala lounge</t>
  </si>
  <si>
    <t xml:space="preserve">Mesa auxiliar  sala lounge/mesa apoyo para panel </t>
  </si>
  <si>
    <t xml:space="preserve">Sillas panel </t>
  </si>
  <si>
    <t xml:space="preserve">Silla moderna tipo poltrona para 1 PAX, en paño, acrílico o cuerina </t>
  </si>
  <si>
    <t>Personal de montaje y desmontaje</t>
  </si>
  <si>
    <t>Micrófono cuello de ganso</t>
  </si>
  <si>
    <t>Sistema de audio con cabinas para 4000 PAX</t>
  </si>
  <si>
    <t>Hasta Medellín con stop y regreso a Bogotá</t>
  </si>
  <si>
    <t>Hasta Cail con stop y regreso a Bogotá</t>
  </si>
  <si>
    <t>Hasta Barraqnuilla con stop y regreso a Bogotá</t>
  </si>
  <si>
    <t>Hasta Cartagena con stop y regreso a Bogotá</t>
  </si>
  <si>
    <t>Hasta Eje Cafetero con stop y regreso a Bogotá</t>
  </si>
  <si>
    <t>Backing de 4x3mts de alto
interiores</t>
  </si>
  <si>
    <t>Estructura en bastidores metálicos forrados en banner impreso calidad 1440 dpi, con retornos laterales impresos y revés forrado en lindasoft /Arkansas.</t>
  </si>
  <si>
    <t>Backing de 3x3mts de alto
interiores</t>
  </si>
  <si>
    <t>Estructura en bastidores metálicos forrados en banner impreso calidad 144 dpi, con retornos laterales impresos y revés forrado en lindasoft /Arkansas.</t>
  </si>
  <si>
    <t xml:space="preserve">Pórtico de acceso  doble con 3 columnas de soporte de 1mt de ancho x 50cm de grosor. 
Cenefa con bastidor metálico y forrado en banner de 1x10mts de ancho e impresión doble cara, inferior y laterales. </t>
  </si>
  <si>
    <t xml:space="preserve">Ubicado en el centro del área de negociación con 4 countes (1 por cara) de 2x1 en madera con entrepaños interiores e impresión frontal para atención. 
Columnas en estructura metálica y forradas en banner por las 4 caras. Cenefas con estructura metálica y de sujeción para TV de 55" por cada frente de atención. Esta cenefa debe venir forrada en banner. 
Tarima interna forrada en moqueta gris. 
Las imágenes deben ser cambiables de acuerdo a la actividad de promoción. </t>
  </si>
  <si>
    <t>Centro de Operaciones counter media luna</t>
  </si>
  <si>
    <t>Ubicado contra pared con:
1 Gigantografía de 3x4mts con bastidores metálicos forrada con banner impreso de la parte frontal y los laterales.
1 Counter de atención en madera de 2x1 en emdia luna y 2 sillas para atención.</t>
  </si>
  <si>
    <t>Ubicado contra pared con:
1 Gigantografía de 3x4mts con bastidores metálicos forrada con banner impreso de la parte frontal y los laterales.
1 Counter de atención en madera de 2x1 y 2 sillas para atención.</t>
  </si>
  <si>
    <t>Barra de 2mts de largo y 70 ctms de ancho para carga de dispositivos electrónicos. Debe incluir tomas de cargador multimarca y  puerto USB.</t>
  </si>
  <si>
    <t>Señalizador interior sencillo</t>
  </si>
  <si>
    <t>Señalizador exterior</t>
  </si>
  <si>
    <t>Señalizador doble cara de 2,5x1,2mts en estructura metálica con impresión en banner por las 2 caras. 
Con sistema de algodones contra vientos para asegurar la estructura.  (ej: algodones en contreto)</t>
  </si>
  <si>
    <t>Estructura en bastidores metálicos forrados en banner impreso calidad 1440 dpi, con retornos laterales impresos y revés forrado en lindasoft /Arkansas . 
Con sistema de algodones contra vientos para asegurar la estructura.  (ej: algodones en contreto)</t>
  </si>
  <si>
    <t>Señalizador de 2,5x1,2mts en aglomerado forrado en banner impreso por las 2 caras.
Con sistema de algodones contra vientos para asegurar estructura.
(ej: algodones en contreto)</t>
  </si>
  <si>
    <t>Backing exterior doble cara 
de 4,8x2,5mts</t>
  </si>
  <si>
    <t>Estructura en bastidores metálicos forrados en banner impreso calidad 144 dpi doble cara, con retornos laterales impresos y revés forrado en lindasoft /Arkansas dependiendo de la imagen y diseño. 
Con sistema de algodones contra vientos para asegurar la estructura.  (elgodones en contreto)</t>
  </si>
  <si>
    <t>Forrada en moqueta o charolina. Debe incluir step para acceso. Medidas módulos: 1,2x1,2mts</t>
  </si>
  <si>
    <t xml:space="preserve">Stand Institucional de 3x3mts con techo </t>
  </si>
  <si>
    <t>Sillas acrílica negra tipo oficina con patas metálicas y espaldar y sentadera en paño.</t>
  </si>
  <si>
    <t xml:space="preserve">Acolchada con cojinería en cuero o paño negro , espaldar y rodachines </t>
  </si>
  <si>
    <t xml:space="preserve">Mesa rectangular de centro en madera o con estructura  metálica y tapa en vidrio </t>
  </si>
  <si>
    <t>Mesa pequeña y cuadrada  en madera o con estructura  metálica y tapa en vidrio .</t>
  </si>
  <si>
    <t>Personal especializado para instalación de vinilos adhesivos</t>
  </si>
  <si>
    <t>Totem de 2mts x 0,5 cada cara</t>
  </si>
  <si>
    <t xml:space="preserve">Estructura reutilizable de 3x3mts, con altura de 2,5mts. Con bastidores metálicos forrados en banner impreso en alta calidad.
Piso laminado  (color según diseño y arte impreso)
Debe incluir 2 mesas altas, cada una con 3 sillas. 
Counter de 1x1mts cons illa alta para atención. 
</t>
  </si>
  <si>
    <t xml:space="preserve">Estructura reutilizable de 3x3mts, con altura de 2,5mts. Con bastidores metálicos forrados en banner impreso en alta calidad.
Piso laminado  (color según diseño y arte impreso)
Debe incluir 2 mesas altas, cada una con 3 sillas. 
Counter de 1x1mts cons illa alta para atención. 
Incluye techo de 3x3mts con sistema de iluminación led 
</t>
  </si>
  <si>
    <t>Estructura cúbica en bastidor de aluminio forrada en banner impreso a 1440 dpi por las 4 caras auto portable.</t>
  </si>
  <si>
    <t>MOBILIARIO: MODELO TARIFARIO PRODUCCIÓN ESCENOGRÁFICA Y MONTAJE PARA MACRORRUEDAS Y EVENTOS - (valores sin IVA ni impuestos locales)</t>
  </si>
  <si>
    <t>#</t>
  </si>
  <si>
    <t>PERSONAL:  MODELO TARIFARIO PRODUCCIÓN ESCENOGRÁFICA Y MONTAJE PARA MACRORRUEDAS Y EVENTOS - (valores sin IVA ni impuestos locales)</t>
  </si>
  <si>
    <t>TÉCNICA:  MODELO TARIFARIO PRODUCCIÓN ESCENOGRÁFICA Y MONTAJE PARA MACRORRUEDAS Y EVENTOS  - (valores sin IVA ni impuestos locales)</t>
  </si>
  <si>
    <t>TRANSPORTE: MODELO TARIFARIO PRODUCCIÓN ESCENOGRÁFICA Y MONTAJE PARA MACRORRUEDAS Y EVENTOS  - (valores sin IVA ni impuestos locales)</t>
  </si>
  <si>
    <t>ESTRUCTURAS:  MODELO TARIFARIO PRODUCCIÓN ESCENOGRÁFICA Y MONTAJE PARA MACRORRUEDAS Y EVENTOS - (valores sin IVA ni impuestos locales)</t>
  </si>
  <si>
    <t xml:space="preserve">Productor Audiovisual </t>
  </si>
  <si>
    <t xml:space="preserve">Persona encargada de la ejecición del minuto a minuto y contenidos audiovisuales. </t>
  </si>
  <si>
    <t>Personal encargado de ensamblar y adecuar las diferentes piezas escenográficas en sitio durante montaje, evento y desmontaje de las mismas piezas. 
Este personal también puede solicitarse para acompañamiento durante el desarrollo de la actividad de promoción.</t>
  </si>
  <si>
    <t xml:space="preserve">Personal de apoyo /staff </t>
  </si>
  <si>
    <t>Personal para actividades extra al montaje solicitadas por ProColombia</t>
  </si>
  <si>
    <t>Counter en madera aglomerada con entre paños, puerta y llave para bodega e impresión frontal. Con acabado de pintura vinílica con acabado brillante.</t>
  </si>
  <si>
    <t>Counter en madera aglomerada con entre paños interiores e impresión frontal. Con acabado de pintura vinílica con acabado brillante.</t>
  </si>
  <si>
    <t>Counter en madera aglomerada con entre paños interiores, puerta y llave para bodega e impresión frontal. Con acabado de pintura vinílica con acabado brillante.</t>
  </si>
  <si>
    <t>Traslado interno (Bogotá)</t>
  </si>
  <si>
    <t>BOGOTÁ</t>
  </si>
  <si>
    <t xml:space="preserve">MEDELLÍN </t>
  </si>
  <si>
    <t>BARRANQUILLA</t>
  </si>
  <si>
    <t>PRECIO UNITARIO POR PIEZA EN ALQUILER POR EVENTO DE 1 DÍA  EN LAS SIGUIENTES CIUDADES</t>
  </si>
  <si>
    <t>PEREIRA</t>
  </si>
  <si>
    <t>EVENTO DE 1 DÍA</t>
  </si>
  <si>
    <t xml:space="preserve">VALOR ITEM SEGÚN </t>
  </si>
  <si>
    <t>DÍA DE TRABAJO DE 8 HORAS</t>
  </si>
  <si>
    <t>HORA EXTRA</t>
  </si>
  <si>
    <t>PRECIO UNITARIO POR PIEZA EN ALQUILER  EN LAS SIGUIENTES CIUDADES</t>
  </si>
  <si>
    <t>PRECIO POR  PERSONA EN LAS SIGUIENTES CIUDADES</t>
  </si>
  <si>
    <t>PRECIO  EN ALQUILER EN LAS SIGUIENTES CIUDADES</t>
  </si>
  <si>
    <t>MEDELLÍN PROPONENTE 1</t>
  </si>
  <si>
    <t>MEDELLÍN PROPONENTE 2</t>
  </si>
  <si>
    <t>Tarima de 0,2mts de alto, 4 mts de ancho y 2,5mts de fondo</t>
  </si>
  <si>
    <t xml:space="preserve"> </t>
  </si>
  <si>
    <t>FOTO O RENDER DE REFERENCIA
*Este render es un apoyo para calcular tipo de material y dimensiones. Los diseños y su gráfica cambiarán según la actividad de promoción o eje</t>
  </si>
  <si>
    <t xml:space="preserve">VALOR POR TODO EL EVENTO DE 2 O MÁS DÍAS </t>
  </si>
  <si>
    <t xml:space="preserve">VALOR UNITARIO DÍA ADICIONAL EN EVENTO DE 2 O MÁS DÍAS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</si>
</sst>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\ * #,##0.00_);_(&quot;$&quot;\ * \(#,##0.00\);_(&quot;$&quot;\ * &quot;-&quot;??_);_(@_)"/>
    <numFmt numFmtId="164" formatCode="&quot;$&quot;\ #,##0;[Red]\-&quot;$&quot;\ #,##0"/>
    <numFmt numFmtId="165" formatCode="_-&quot;$&quot;\ * #,##0_-;\-&quot;$&quot;\ * #,##0_-;_-&quot;$&quot;\ * &quot;-&quot;_-;_-@_-"/>
    <numFmt numFmtId="166" formatCode="\$\ #,##0"/>
    <numFmt numFmtId="167" formatCode="_ &quot;$&quot;\ * #,##0_ ;_ &quot;$&quot;\ * \-#,##0_ ;_ &quot;$&quot;\ * &quot;-&quot;_ ;_ @_ 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name val="Arial"/>
      <family val="2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sz val="12"/>
      <name val="Arial"/>
      <family val="2"/>
    </font>
    <font>
      <sz val="11"/>
      <color indexed="8"/>
      <name val="Calibri"/>
      <family val="2"/>
      <scheme val="minor"/>
    </font>
    <font>
      <b/>
      <sz val="10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E1E0F4"/>
        <bgColor indexed="64"/>
      </patternFill>
    </fill>
    <fill>
      <patternFill patternType="solid">
        <fgColor rgb="FFD9E0F1"/>
      </patternFill>
    </fill>
    <fill>
      <patternFill patternType="solid">
        <fgColor rgb="FFE0DFF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368">
    <xf numFmtId="0" fontId="0" fillId="0" borderId="0" xfId="0"/>
    <xf numFmtId="0" fontId="0" fillId="0" borderId="1" xfId="0" applyBorder="1"/>
    <xf numFmtId="0" fontId="0" fillId="0" borderId="1" xfId="0" applyFill="1" applyBorder="1"/>
    <xf numFmtId="0" fontId="2" fillId="2" borderId="1" xfId="0" applyFont="1" applyFill="1" applyBorder="1" applyAlignment="1">
      <alignment horizontal="center" vertical="center"/>
    </xf>
    <xf numFmtId="0" fontId="0" fillId="0" borderId="0" xfId="0" applyFill="1"/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165" fontId="0" fillId="0" borderId="10" xfId="1" applyFont="1" applyBorder="1" applyAlignment="1">
      <alignment horizontal="right" vertical="center"/>
    </xf>
    <xf numFmtId="165" fontId="0" fillId="0" borderId="11" xfId="1" applyFont="1" applyBorder="1" applyAlignment="1">
      <alignment horizontal="right" vertical="center"/>
    </xf>
    <xf numFmtId="165" fontId="0" fillId="0" borderId="10" xfId="1" applyFont="1" applyBorder="1" applyAlignment="1">
      <alignment vertical="center"/>
    </xf>
    <xf numFmtId="165" fontId="0" fillId="0" borderId="10" xfId="1" applyFont="1" applyFill="1" applyBorder="1" applyAlignment="1">
      <alignment horizontal="right" vertical="center"/>
    </xf>
    <xf numFmtId="165" fontId="0" fillId="0" borderId="11" xfId="1" applyFont="1" applyFill="1" applyBorder="1" applyAlignment="1">
      <alignment horizontal="right" vertical="center"/>
    </xf>
    <xf numFmtId="165" fontId="0" fillId="0" borderId="10" xfId="1" applyFont="1" applyFill="1" applyBorder="1" applyAlignment="1">
      <alignment vertical="center"/>
    </xf>
    <xf numFmtId="165" fontId="0" fillId="0" borderId="11" xfId="1" applyFont="1" applyFill="1" applyBorder="1" applyAlignment="1">
      <alignment vertical="center"/>
    </xf>
    <xf numFmtId="165" fontId="0" fillId="0" borderId="10" xfId="1" applyFont="1" applyBorder="1" applyAlignment="1">
      <alignment horizontal="center" vertical="center"/>
    </xf>
    <xf numFmtId="165" fontId="0" fillId="0" borderId="11" xfId="1" applyFont="1" applyBorder="1"/>
    <xf numFmtId="165" fontId="0" fillId="3" borderId="10" xfId="1" applyFont="1" applyFill="1" applyBorder="1" applyAlignment="1">
      <alignment horizontal="right" vertical="center"/>
    </xf>
    <xf numFmtId="165" fontId="0" fillId="3" borderId="11" xfId="1" applyFont="1" applyFill="1" applyBorder="1" applyAlignment="1">
      <alignment horizontal="right" vertical="center"/>
    </xf>
    <xf numFmtId="165" fontId="0" fillId="3" borderId="10" xfId="1" applyFont="1" applyFill="1" applyBorder="1" applyAlignment="1">
      <alignment vertical="center"/>
    </xf>
    <xf numFmtId="165" fontId="0" fillId="3" borderId="7" xfId="1" applyFont="1" applyFill="1" applyBorder="1" applyAlignment="1">
      <alignment horizontal="right" vertical="center"/>
    </xf>
    <xf numFmtId="165" fontId="0" fillId="3" borderId="8" xfId="1" applyFont="1" applyFill="1" applyBorder="1" applyAlignment="1">
      <alignment horizontal="right" vertical="center"/>
    </xf>
    <xf numFmtId="165" fontId="0" fillId="3" borderId="7" xfId="1" applyFont="1" applyFill="1" applyBorder="1" applyAlignment="1">
      <alignment vertical="center"/>
    </xf>
    <xf numFmtId="165" fontId="0" fillId="3" borderId="11" xfId="1" applyFont="1" applyFill="1" applyBorder="1" applyAlignment="1">
      <alignment vertical="center"/>
    </xf>
    <xf numFmtId="165" fontId="0" fillId="3" borderId="10" xfId="1" applyFont="1" applyFill="1" applyBorder="1" applyAlignment="1">
      <alignment horizontal="center" vertical="center"/>
    </xf>
    <xf numFmtId="165" fontId="0" fillId="3" borderId="11" xfId="1" applyFont="1" applyFill="1" applyBorder="1"/>
    <xf numFmtId="165" fontId="0" fillId="2" borderId="10" xfId="1" applyFont="1" applyFill="1" applyBorder="1" applyAlignment="1">
      <alignment horizontal="right" vertical="center"/>
    </xf>
    <xf numFmtId="165" fontId="0" fillId="2" borderId="11" xfId="1" applyFont="1" applyFill="1" applyBorder="1" applyAlignment="1">
      <alignment horizontal="right" vertical="center"/>
    </xf>
    <xf numFmtId="165" fontId="2" fillId="3" borderId="7" xfId="1" applyFont="1" applyFill="1" applyBorder="1" applyAlignment="1">
      <alignment horizontal="center" vertical="center"/>
    </xf>
    <xf numFmtId="165" fontId="2" fillId="3" borderId="8" xfId="1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left" vertical="center" wrapText="1"/>
    </xf>
    <xf numFmtId="165" fontId="2" fillId="0" borderId="13" xfId="1" applyFont="1" applyBorder="1" applyAlignment="1">
      <alignment horizontal="center" vertical="center"/>
    </xf>
    <xf numFmtId="165" fontId="2" fillId="0" borderId="14" xfId="1" applyFont="1" applyBorder="1" applyAlignment="1">
      <alignment horizontal="center" vertical="center"/>
    </xf>
    <xf numFmtId="165" fontId="2" fillId="3" borderId="10" xfId="1" applyFont="1" applyFill="1" applyBorder="1" applyAlignment="1">
      <alignment horizontal="center" vertical="center"/>
    </xf>
    <xf numFmtId="165" fontId="2" fillId="3" borderId="11" xfId="1" applyFont="1" applyFill="1" applyBorder="1" applyAlignment="1">
      <alignment horizontal="center" vertical="center"/>
    </xf>
    <xf numFmtId="165" fontId="0" fillId="3" borderId="8" xfId="1" applyFont="1" applyFill="1" applyBorder="1" applyAlignment="1">
      <alignment vertical="center"/>
    </xf>
    <xf numFmtId="0" fontId="0" fillId="3" borderId="10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 wrapText="1"/>
    </xf>
    <xf numFmtId="0" fontId="0" fillId="0" borderId="13" xfId="0" applyBorder="1" applyAlignment="1">
      <alignment vertical="center"/>
    </xf>
    <xf numFmtId="0" fontId="0" fillId="0" borderId="14" xfId="0" applyBorder="1"/>
    <xf numFmtId="165" fontId="2" fillId="0" borderId="12" xfId="1" applyFont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0" fillId="0" borderId="15" xfId="0" applyBorder="1" applyAlignment="1">
      <alignment horizontal="left" vertical="center" wrapText="1"/>
    </xf>
    <xf numFmtId="0" fontId="2" fillId="2" borderId="15" xfId="0" applyFont="1" applyFill="1" applyBorder="1" applyAlignment="1">
      <alignment horizontal="center" vertical="center"/>
    </xf>
    <xf numFmtId="0" fontId="0" fillId="0" borderId="11" xfId="0" applyBorder="1"/>
    <xf numFmtId="0" fontId="0" fillId="0" borderId="8" xfId="0" applyBorder="1"/>
    <xf numFmtId="0" fontId="0" fillId="3" borderId="11" xfId="0" applyFill="1" applyBorder="1"/>
    <xf numFmtId="0" fontId="0" fillId="3" borderId="8" xfId="0" applyFill="1" applyBorder="1"/>
    <xf numFmtId="0" fontId="0" fillId="0" borderId="11" xfId="0" applyFill="1" applyBorder="1"/>
    <xf numFmtId="0" fontId="0" fillId="0" borderId="8" xfId="0" applyFill="1" applyBorder="1"/>
    <xf numFmtId="165" fontId="2" fillId="0" borderId="20" xfId="1" applyFont="1" applyBorder="1" applyAlignment="1">
      <alignment horizontal="center" vertical="center"/>
    </xf>
    <xf numFmtId="165" fontId="2" fillId="0" borderId="21" xfId="1" applyFont="1" applyBorder="1" applyAlignment="1">
      <alignment horizontal="center" vertical="center"/>
    </xf>
    <xf numFmtId="165" fontId="2" fillId="0" borderId="12" xfId="1" applyFont="1" applyFill="1" applyBorder="1" applyAlignment="1">
      <alignment horizontal="center" vertical="center" wrapText="1"/>
    </xf>
    <xf numFmtId="165" fontId="2" fillId="0" borderId="10" xfId="1" applyFont="1" applyFill="1" applyBorder="1" applyAlignment="1">
      <alignment horizontal="center" vertical="center"/>
    </xf>
    <xf numFmtId="165" fontId="2" fillId="0" borderId="9" xfId="1" applyFont="1" applyBorder="1" applyAlignment="1">
      <alignment horizontal="center" vertical="center"/>
    </xf>
    <xf numFmtId="165" fontId="2" fillId="3" borderId="9" xfId="1" applyFont="1" applyFill="1" applyBorder="1" applyAlignment="1">
      <alignment horizontal="center" vertical="center"/>
    </xf>
    <xf numFmtId="165" fontId="2" fillId="0" borderId="9" xfId="1" applyFont="1" applyFill="1" applyBorder="1" applyAlignment="1">
      <alignment horizontal="center" vertical="center"/>
    </xf>
    <xf numFmtId="165" fontId="2" fillId="3" borderId="12" xfId="1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0" fillId="3" borderId="10" xfId="0" applyFill="1" applyBorder="1"/>
    <xf numFmtId="0" fontId="0" fillId="3" borderId="7" xfId="0" applyFill="1" applyBorder="1"/>
    <xf numFmtId="0" fontId="2" fillId="2" borderId="3" xfId="0" applyFont="1" applyFill="1" applyBorder="1" applyAlignment="1">
      <alignment horizontal="center" vertical="center"/>
    </xf>
    <xf numFmtId="0" fontId="0" fillId="0" borderId="10" xfId="0" applyBorder="1"/>
    <xf numFmtId="0" fontId="0" fillId="0" borderId="7" xfId="0" applyBorder="1"/>
    <xf numFmtId="0" fontId="2" fillId="2" borderId="2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/>
    </xf>
    <xf numFmtId="165" fontId="2" fillId="0" borderId="30" xfId="1" applyFont="1" applyBorder="1" applyAlignment="1">
      <alignment vertical="center"/>
    </xf>
    <xf numFmtId="0" fontId="0" fillId="0" borderId="10" xfId="0" applyFill="1" applyBorder="1"/>
    <xf numFmtId="0" fontId="0" fillId="0" borderId="7" xfId="0" applyFill="1" applyBorder="1"/>
    <xf numFmtId="0" fontId="2" fillId="0" borderId="0" xfId="0" applyFont="1" applyFill="1" applyAlignment="1">
      <alignment horizontal="left"/>
    </xf>
    <xf numFmtId="165" fontId="0" fillId="2" borderId="10" xfId="1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horizontal="center" vertical="top" wrapText="1"/>
    </xf>
    <xf numFmtId="166" fontId="8" fillId="0" borderId="37" xfId="0" applyNumberFormat="1" applyFont="1" applyFill="1" applyBorder="1" applyAlignment="1">
      <alignment horizontal="center" vertical="center" shrinkToFit="1"/>
    </xf>
    <xf numFmtId="166" fontId="8" fillId="5" borderId="37" xfId="0" applyNumberFormat="1" applyFont="1" applyFill="1" applyBorder="1" applyAlignment="1">
      <alignment horizontal="center" vertical="center" shrinkToFit="1"/>
    </xf>
    <xf numFmtId="165" fontId="9" fillId="2" borderId="10" xfId="1" applyFont="1" applyFill="1" applyBorder="1" applyAlignment="1">
      <alignment horizontal="center" vertical="center"/>
    </xf>
    <xf numFmtId="165" fontId="9" fillId="0" borderId="3" xfId="1" applyFont="1" applyBorder="1" applyAlignment="1">
      <alignment horizontal="center" vertical="center"/>
    </xf>
    <xf numFmtId="165" fontId="9" fillId="3" borderId="10" xfId="1" applyFont="1" applyFill="1" applyBorder="1" applyAlignment="1">
      <alignment horizontal="center" vertical="center"/>
    </xf>
    <xf numFmtId="167" fontId="10" fillId="0" borderId="1" xfId="0" applyNumberFormat="1" applyFont="1" applyFill="1" applyBorder="1" applyAlignment="1">
      <alignment horizontal="center" vertical="center"/>
    </xf>
    <xf numFmtId="165" fontId="9" fillId="0" borderId="10" xfId="1" applyFont="1" applyFill="1" applyBorder="1" applyAlignment="1">
      <alignment horizontal="center" vertical="center"/>
    </xf>
    <xf numFmtId="167" fontId="10" fillId="2" borderId="1" xfId="0" applyNumberFormat="1" applyFont="1" applyFill="1" applyBorder="1" applyAlignment="1">
      <alignment horizontal="center" vertical="center"/>
    </xf>
    <xf numFmtId="167" fontId="10" fillId="6" borderId="1" xfId="0" applyNumberFormat="1" applyFont="1" applyFill="1" applyBorder="1" applyAlignment="1">
      <alignment horizontal="center" vertical="center"/>
    </xf>
    <xf numFmtId="165" fontId="9" fillId="0" borderId="10" xfId="1" applyFont="1" applyBorder="1" applyAlignment="1">
      <alignment horizontal="center" vertical="center"/>
    </xf>
    <xf numFmtId="166" fontId="8" fillId="4" borderId="37" xfId="0" applyNumberFormat="1" applyFont="1" applyFill="1" applyBorder="1" applyAlignment="1">
      <alignment horizontal="center" vertical="center" shrinkToFit="1"/>
    </xf>
    <xf numFmtId="0" fontId="0" fillId="3" borderId="11" xfId="0" applyFill="1" applyBorder="1" applyAlignment="1">
      <alignment horizontal="center"/>
    </xf>
    <xf numFmtId="0" fontId="0" fillId="3" borderId="9" xfId="0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 wrapText="1"/>
    </xf>
    <xf numFmtId="0" fontId="0" fillId="3" borderId="17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3" borderId="11" xfId="0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0" fillId="0" borderId="17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5" fillId="3" borderId="20" xfId="0" applyFont="1" applyFill="1" applyBorder="1" applyAlignment="1">
      <alignment horizontal="center" vertical="center" wrapText="1"/>
    </xf>
    <xf numFmtId="0" fontId="0" fillId="3" borderId="19" xfId="0" applyFill="1" applyBorder="1" applyAlignment="1">
      <alignment horizontal="center" vertical="center"/>
    </xf>
    <xf numFmtId="165" fontId="2" fillId="2" borderId="9" xfId="1" applyFont="1" applyFill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1" xfId="0" applyBorder="1" applyAlignment="1">
      <alignment horizontal="center"/>
    </xf>
    <xf numFmtId="0" fontId="0" fillId="3" borderId="20" xfId="0" applyFill="1" applyBorder="1" applyAlignment="1">
      <alignment horizontal="center" vertical="center" wrapText="1"/>
    </xf>
    <xf numFmtId="0" fontId="0" fillId="3" borderId="21" xfId="0" applyFill="1" applyBorder="1" applyAlignment="1">
      <alignment horizontal="center"/>
    </xf>
    <xf numFmtId="165" fontId="2" fillId="0" borderId="9" xfId="1" applyFont="1" applyFill="1" applyBorder="1" applyAlignment="1">
      <alignment horizontal="center" vertical="center" wrapText="1"/>
    </xf>
    <xf numFmtId="165" fontId="2" fillId="3" borderId="6" xfId="1" applyFont="1" applyFill="1" applyBorder="1" applyAlignment="1">
      <alignment horizontal="center" vertical="center" wrapText="1"/>
    </xf>
    <xf numFmtId="165" fontId="4" fillId="3" borderId="10" xfId="1" applyFont="1" applyFill="1" applyBorder="1" applyAlignment="1">
      <alignment horizontal="center" vertical="center"/>
    </xf>
    <xf numFmtId="165" fontId="4" fillId="3" borderId="7" xfId="1" applyFont="1" applyFill="1" applyBorder="1" applyAlignment="1">
      <alignment horizontal="center" vertical="center"/>
    </xf>
    <xf numFmtId="165" fontId="1" fillId="0" borderId="10" xfId="1" applyFont="1" applyFill="1" applyBorder="1" applyAlignment="1">
      <alignment horizontal="center" vertical="top"/>
    </xf>
    <xf numFmtId="165" fontId="1" fillId="3" borderId="10" xfId="1" applyFont="1" applyFill="1" applyBorder="1" applyAlignment="1">
      <alignment horizontal="center" vertical="top"/>
    </xf>
    <xf numFmtId="165" fontId="1" fillId="3" borderId="7" xfId="1" applyFont="1" applyFill="1" applyBorder="1" applyAlignment="1">
      <alignment horizontal="center" vertical="top"/>
    </xf>
    <xf numFmtId="165" fontId="1" fillId="0" borderId="10" xfId="1" applyFont="1" applyBorder="1" applyAlignment="1">
      <alignment horizontal="right" vertical="center"/>
    </xf>
    <xf numFmtId="165" fontId="1" fillId="3" borderId="10" xfId="1" applyFont="1" applyFill="1" applyBorder="1" applyAlignment="1">
      <alignment horizontal="right" vertical="center"/>
    </xf>
    <xf numFmtId="165" fontId="1" fillId="3" borderId="7" xfId="1" applyFont="1" applyFill="1" applyBorder="1" applyAlignment="1">
      <alignment horizontal="right" vertical="center"/>
    </xf>
    <xf numFmtId="165" fontId="1" fillId="0" borderId="10" xfId="1" applyFont="1" applyFill="1" applyBorder="1" applyAlignment="1">
      <alignment horizontal="right" vertical="center"/>
    </xf>
    <xf numFmtId="165" fontId="1" fillId="0" borderId="10" xfId="1" applyFont="1" applyFill="1" applyBorder="1" applyAlignment="1">
      <alignment vertical="center"/>
    </xf>
    <xf numFmtId="165" fontId="1" fillId="3" borderId="10" xfId="1" applyFont="1" applyFill="1" applyBorder="1" applyAlignment="1">
      <alignment vertical="center"/>
    </xf>
    <xf numFmtId="165" fontId="1" fillId="3" borderId="7" xfId="1" applyFont="1" applyFill="1" applyBorder="1" applyAlignment="1">
      <alignment vertical="center"/>
    </xf>
    <xf numFmtId="165" fontId="4" fillId="0" borderId="10" xfId="1" applyFont="1" applyBorder="1" applyAlignment="1">
      <alignment horizontal="right" vertical="center"/>
    </xf>
    <xf numFmtId="165" fontId="4" fillId="0" borderId="11" xfId="1" applyFont="1" applyBorder="1" applyAlignment="1">
      <alignment horizontal="right" vertical="center"/>
    </xf>
    <xf numFmtId="165" fontId="4" fillId="3" borderId="10" xfId="1" applyFont="1" applyFill="1" applyBorder="1" applyAlignment="1">
      <alignment horizontal="right" vertical="center"/>
    </xf>
    <xf numFmtId="165" fontId="4" fillId="3" borderId="11" xfId="1" applyFont="1" applyFill="1" applyBorder="1" applyAlignment="1">
      <alignment horizontal="right" vertical="center"/>
    </xf>
    <xf numFmtId="165" fontId="4" fillId="0" borderId="10" xfId="1" applyFont="1" applyFill="1" applyBorder="1" applyAlignment="1">
      <alignment horizontal="right" vertical="center"/>
    </xf>
    <xf numFmtId="165" fontId="4" fillId="0" borderId="11" xfId="1" applyFont="1" applyFill="1" applyBorder="1" applyAlignment="1">
      <alignment horizontal="right" vertical="center"/>
    </xf>
    <xf numFmtId="165" fontId="4" fillId="0" borderId="10" xfId="1" applyFont="1" applyFill="1" applyBorder="1" applyAlignment="1">
      <alignment vertical="center"/>
    </xf>
    <xf numFmtId="165" fontId="4" fillId="0" borderId="11" xfId="1" applyFont="1" applyFill="1" applyBorder="1" applyAlignment="1">
      <alignment vertical="center"/>
    </xf>
    <xf numFmtId="165" fontId="4" fillId="3" borderId="10" xfId="1" applyFont="1" applyFill="1" applyBorder="1" applyAlignment="1">
      <alignment vertical="center"/>
    </xf>
    <xf numFmtId="165" fontId="4" fillId="3" borderId="11" xfId="1" applyFont="1" applyFill="1" applyBorder="1" applyAlignment="1">
      <alignment vertical="center"/>
    </xf>
    <xf numFmtId="165" fontId="4" fillId="0" borderId="10" xfId="1" applyFont="1" applyBorder="1" applyAlignment="1">
      <alignment horizontal="center" vertical="center"/>
    </xf>
    <xf numFmtId="164" fontId="4" fillId="0" borderId="11" xfId="1" applyNumberFormat="1" applyFont="1" applyBorder="1" applyAlignment="1">
      <alignment horizontal="center" vertical="center"/>
    </xf>
    <xf numFmtId="165" fontId="4" fillId="3" borderId="11" xfId="1" applyFont="1" applyFill="1" applyBorder="1" applyAlignment="1">
      <alignment horizontal="center" vertical="center"/>
    </xf>
    <xf numFmtId="165" fontId="4" fillId="0" borderId="10" xfId="1" applyFont="1" applyBorder="1" applyAlignment="1">
      <alignment vertical="center"/>
    </xf>
    <xf numFmtId="165" fontId="4" fillId="0" borderId="11" xfId="1" applyFont="1" applyBorder="1" applyAlignment="1">
      <alignment vertical="center"/>
    </xf>
    <xf numFmtId="165" fontId="4" fillId="3" borderId="11" xfId="1" applyFont="1" applyFill="1" applyBorder="1"/>
    <xf numFmtId="165" fontId="4" fillId="0" borderId="11" xfId="1" applyFont="1" applyFill="1" applyBorder="1"/>
    <xf numFmtId="165" fontId="1" fillId="3" borderId="10" xfId="1" applyFont="1" applyFill="1" applyBorder="1" applyAlignment="1">
      <alignment horizontal="center" vertical="center"/>
    </xf>
    <xf numFmtId="165" fontId="1" fillId="3" borderId="7" xfId="1" applyFont="1" applyFill="1" applyBorder="1" applyAlignment="1">
      <alignment horizontal="center" vertical="center"/>
    </xf>
    <xf numFmtId="165" fontId="1" fillId="3" borderId="13" xfId="1" applyFont="1" applyFill="1" applyBorder="1" applyAlignment="1">
      <alignment horizontal="center" vertical="center"/>
    </xf>
    <xf numFmtId="165" fontId="1" fillId="3" borderId="14" xfId="1" applyFont="1" applyFill="1" applyBorder="1" applyAlignment="1">
      <alignment horizontal="center" vertical="center"/>
    </xf>
    <xf numFmtId="165" fontId="1" fillId="0" borderId="10" xfId="1" applyFont="1" applyFill="1" applyBorder="1" applyAlignment="1">
      <alignment horizontal="center" vertical="center"/>
    </xf>
    <xf numFmtId="165" fontId="1" fillId="0" borderId="11" xfId="1" applyFont="1" applyFill="1" applyBorder="1" applyAlignment="1">
      <alignment horizontal="center" vertical="center"/>
    </xf>
    <xf numFmtId="165" fontId="1" fillId="3" borderId="8" xfId="1" applyFont="1" applyFill="1" applyBorder="1" applyAlignment="1">
      <alignment horizontal="center" vertical="center"/>
    </xf>
    <xf numFmtId="165" fontId="1" fillId="0" borderId="11" xfId="1" applyFont="1" applyFill="1" applyBorder="1" applyAlignment="1">
      <alignment horizontal="right" vertical="center"/>
    </xf>
    <xf numFmtId="165" fontId="1" fillId="0" borderId="13" xfId="1" applyFont="1" applyFill="1" applyBorder="1" applyAlignment="1">
      <alignment horizontal="center" vertical="top"/>
    </xf>
    <xf numFmtId="165" fontId="1" fillId="0" borderId="13" xfId="1" applyFont="1" applyFill="1" applyBorder="1" applyAlignment="1">
      <alignment horizontal="right" vertical="center"/>
    </xf>
    <xf numFmtId="165" fontId="1" fillId="0" borderId="14" xfId="1" applyFont="1" applyFill="1" applyBorder="1" applyAlignment="1">
      <alignment horizontal="right" vertical="center"/>
    </xf>
    <xf numFmtId="165" fontId="1" fillId="0" borderId="1" xfId="1" applyFont="1" applyFill="1" applyBorder="1" applyAlignment="1">
      <alignment vertical="center"/>
    </xf>
    <xf numFmtId="165" fontId="1" fillId="0" borderId="1" xfId="1" applyFont="1" applyFill="1" applyBorder="1" applyAlignment="1">
      <alignment horizontal="center" vertical="center"/>
    </xf>
    <xf numFmtId="165" fontId="11" fillId="0" borderId="1" xfId="1" applyFont="1" applyFill="1" applyBorder="1" applyAlignment="1">
      <alignment vertical="center"/>
    </xf>
    <xf numFmtId="165" fontId="1" fillId="0" borderId="1" xfId="1" applyFont="1" applyFill="1" applyBorder="1"/>
    <xf numFmtId="165" fontId="1" fillId="0" borderId="1" xfId="1" applyFont="1" applyFill="1" applyBorder="1" applyAlignment="1">
      <alignment horizontal="center"/>
    </xf>
    <xf numFmtId="165" fontId="11" fillId="0" borderId="1" xfId="1" applyFont="1" applyFill="1" applyBorder="1"/>
    <xf numFmtId="0" fontId="12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 wrapText="1"/>
    </xf>
    <xf numFmtId="0" fontId="0" fillId="0" borderId="42" xfId="0" applyFill="1" applyBorder="1"/>
    <xf numFmtId="165" fontId="2" fillId="0" borderId="7" xfId="1" applyFont="1" applyFill="1" applyBorder="1" applyAlignment="1">
      <alignment horizontal="center" vertical="center" wrapText="1"/>
    </xf>
    <xf numFmtId="165" fontId="2" fillId="3" borderId="7" xfId="1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165" fontId="2" fillId="2" borderId="10" xfId="1" applyFont="1" applyFill="1" applyBorder="1" applyAlignment="1">
      <alignment horizontal="center" vertical="center"/>
    </xf>
    <xf numFmtId="0" fontId="0" fillId="2" borderId="10" xfId="0" applyFill="1" applyBorder="1"/>
    <xf numFmtId="0" fontId="0" fillId="2" borderId="11" xfId="0" applyFill="1" applyBorder="1"/>
    <xf numFmtId="165" fontId="2" fillId="2" borderId="7" xfId="1" applyFont="1" applyFill="1" applyBorder="1" applyAlignment="1">
      <alignment horizontal="center" vertical="center" wrapText="1"/>
    </xf>
    <xf numFmtId="0" fontId="0" fillId="2" borderId="7" xfId="0" applyFill="1" applyBorder="1"/>
    <xf numFmtId="0" fontId="0" fillId="2" borderId="8" xfId="0" applyFill="1" applyBorder="1"/>
    <xf numFmtId="0" fontId="0" fillId="0" borderId="16" xfId="0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0" fillId="0" borderId="5" xfId="0" applyBorder="1" applyAlignment="1">
      <alignment vertical="center" wrapText="1"/>
    </xf>
    <xf numFmtId="0" fontId="0" fillId="0" borderId="5" xfId="0" applyBorder="1" applyAlignment="1">
      <alignment horizontal="left" vertical="center" wrapText="1"/>
    </xf>
    <xf numFmtId="165" fontId="2" fillId="0" borderId="23" xfId="1" applyFont="1" applyBorder="1" applyAlignment="1">
      <alignment horizontal="center" vertical="center" wrapText="1"/>
    </xf>
    <xf numFmtId="165" fontId="2" fillId="0" borderId="5" xfId="1" applyFont="1" applyBorder="1" applyAlignment="1">
      <alignment horizontal="center" vertical="center"/>
    </xf>
    <xf numFmtId="165" fontId="2" fillId="0" borderId="47" xfId="1" applyFont="1" applyBorder="1" applyAlignment="1">
      <alignment horizontal="center" vertical="center"/>
    </xf>
    <xf numFmtId="165" fontId="1" fillId="0" borderId="13" xfId="1" applyFont="1" applyFill="1" applyBorder="1" applyAlignment="1">
      <alignment horizontal="center" vertical="center"/>
    </xf>
    <xf numFmtId="165" fontId="1" fillId="0" borderId="14" xfId="1" applyFont="1" applyFill="1" applyBorder="1" applyAlignment="1">
      <alignment horizontal="center" vertical="center"/>
    </xf>
    <xf numFmtId="165" fontId="0" fillId="2" borderId="10" xfId="1" applyFont="1" applyFill="1" applyBorder="1" applyAlignment="1">
      <alignment vertical="center"/>
    </xf>
    <xf numFmtId="164" fontId="0" fillId="0" borderId="10" xfId="1" applyNumberFormat="1" applyFont="1" applyFill="1" applyBorder="1" applyAlignment="1">
      <alignment horizontal="right" vertical="center"/>
    </xf>
    <xf numFmtId="165" fontId="2" fillId="6" borderId="6" xfId="1" applyFont="1" applyFill="1" applyBorder="1" applyAlignment="1">
      <alignment horizontal="center" vertical="center" wrapText="1"/>
    </xf>
    <xf numFmtId="165" fontId="1" fillId="6" borderId="7" xfId="1" applyFont="1" applyFill="1" applyBorder="1" applyAlignment="1">
      <alignment horizontal="center" vertical="top"/>
    </xf>
    <xf numFmtId="165" fontId="1" fillId="6" borderId="7" xfId="1" applyFont="1" applyFill="1" applyBorder="1" applyAlignment="1">
      <alignment horizontal="right" vertical="center"/>
    </xf>
    <xf numFmtId="165" fontId="0" fillId="6" borderId="7" xfId="1" applyFont="1" applyFill="1" applyBorder="1" applyAlignment="1">
      <alignment horizontal="right" vertical="center"/>
    </xf>
    <xf numFmtId="165" fontId="0" fillId="6" borderId="8" xfId="1" applyFont="1" applyFill="1" applyBorder="1" applyAlignment="1">
      <alignment horizontal="right" vertical="center"/>
    </xf>
    <xf numFmtId="0" fontId="0" fillId="6" borderId="0" xfId="0" applyFill="1"/>
    <xf numFmtId="164" fontId="1" fillId="6" borderId="7" xfId="1" applyNumberFormat="1" applyFont="1" applyFill="1" applyBorder="1" applyAlignment="1">
      <alignment horizontal="right" vertical="center"/>
    </xf>
    <xf numFmtId="164" fontId="0" fillId="6" borderId="7" xfId="1" applyNumberFormat="1" applyFont="1" applyFill="1" applyBorder="1" applyAlignment="1">
      <alignment horizontal="right" vertical="center"/>
    </xf>
    <xf numFmtId="165" fontId="1" fillId="6" borderId="7" xfId="1" applyFont="1" applyFill="1" applyBorder="1" applyAlignment="1">
      <alignment vertical="center"/>
    </xf>
    <xf numFmtId="165" fontId="0" fillId="6" borderId="7" xfId="1" applyFont="1" applyFill="1" applyBorder="1" applyAlignment="1">
      <alignment vertical="center"/>
    </xf>
    <xf numFmtId="165" fontId="0" fillId="6" borderId="8" xfId="1" applyFont="1" applyFill="1" applyBorder="1" applyAlignment="1">
      <alignment vertical="center"/>
    </xf>
    <xf numFmtId="165" fontId="0" fillId="0" borderId="7" xfId="1" applyFont="1" applyBorder="1" applyAlignment="1">
      <alignment horizontal="right" vertical="center"/>
    </xf>
    <xf numFmtId="165" fontId="0" fillId="0" borderId="7" xfId="1" applyFont="1" applyFill="1" applyBorder="1" applyAlignment="1">
      <alignment horizontal="right" vertical="center"/>
    </xf>
    <xf numFmtId="165" fontId="0" fillId="3" borderId="7" xfId="0" applyNumberFormat="1" applyFill="1" applyBorder="1" applyAlignment="1">
      <alignment horizontal="right" vertical="center"/>
    </xf>
    <xf numFmtId="165" fontId="0" fillId="2" borderId="7" xfId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0" fontId="0" fillId="0" borderId="38" xfId="0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0" fillId="0" borderId="40" xfId="0" applyFill="1" applyBorder="1" applyAlignment="1">
      <alignment horizontal="center"/>
    </xf>
    <xf numFmtId="0" fontId="0" fillId="0" borderId="41" xfId="0" applyFill="1" applyBorder="1" applyAlignment="1">
      <alignment horizontal="center"/>
    </xf>
    <xf numFmtId="0" fontId="5" fillId="2" borderId="12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46" xfId="0" applyBorder="1" applyAlignment="1">
      <alignment horizontal="center"/>
    </xf>
    <xf numFmtId="0" fontId="6" fillId="2" borderId="28" xfId="0" applyFont="1" applyFill="1" applyBorder="1" applyAlignment="1">
      <alignment horizontal="center" vertical="center"/>
    </xf>
    <xf numFmtId="0" fontId="6" fillId="2" borderId="34" xfId="0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/>
    </xf>
    <xf numFmtId="0" fontId="6" fillId="2" borderId="35" xfId="0" applyFont="1" applyFill="1" applyBorder="1" applyAlignment="1">
      <alignment horizontal="center" vertical="center"/>
    </xf>
    <xf numFmtId="0" fontId="6" fillId="2" borderId="33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 wrapText="1"/>
    </xf>
    <xf numFmtId="0" fontId="0" fillId="3" borderId="18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6" fillId="3" borderId="28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43" xfId="0" applyFont="1" applyFill="1" applyBorder="1" applyAlignment="1">
      <alignment horizontal="center" vertical="center"/>
    </xf>
    <xf numFmtId="0" fontId="6" fillId="3" borderId="29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44" xfId="0" applyFont="1" applyFill="1" applyBorder="1" applyAlignment="1">
      <alignment horizontal="center" vertical="center"/>
    </xf>
    <xf numFmtId="0" fontId="6" fillId="3" borderId="35" xfId="0" applyFont="1" applyFill="1" applyBorder="1" applyAlignment="1">
      <alignment horizontal="center" vertical="center"/>
    </xf>
    <xf numFmtId="0" fontId="6" fillId="3" borderId="33" xfId="0" applyFont="1" applyFill="1" applyBorder="1" applyAlignment="1">
      <alignment horizontal="center" vertical="center"/>
    </xf>
    <xf numFmtId="0" fontId="6" fillId="3" borderId="45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2" fillId="3" borderId="43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44" xfId="0" applyFont="1" applyFill="1" applyBorder="1" applyAlignment="1">
      <alignment horizontal="center" vertical="center"/>
    </xf>
    <xf numFmtId="0" fontId="2" fillId="3" borderId="35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45" xfId="0" applyFont="1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" fillId="0" borderId="20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2" fillId="0" borderId="20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 wrapText="1"/>
    </xf>
    <xf numFmtId="0" fontId="0" fillId="3" borderId="19" xfId="0" applyFill="1" applyBorder="1" applyAlignment="1">
      <alignment horizontal="center" vertical="center"/>
    </xf>
    <xf numFmtId="0" fontId="0" fillId="3" borderId="25" xfId="0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horizontal="center" vertical="center" wrapText="1"/>
    </xf>
    <xf numFmtId="0" fontId="0" fillId="3" borderId="21" xfId="0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0" fillId="0" borderId="22" xfId="0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2" fillId="0" borderId="9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horizontal="left" vertical="center"/>
    </xf>
    <xf numFmtId="0" fontId="0" fillId="3" borderId="28" xfId="0" applyFill="1" applyBorder="1" applyAlignment="1">
      <alignment horizontal="center" vertical="center"/>
    </xf>
    <xf numFmtId="0" fontId="0" fillId="3" borderId="35" xfId="0" applyFill="1" applyBorder="1" applyAlignment="1">
      <alignment horizontal="center" vertical="center"/>
    </xf>
    <xf numFmtId="0" fontId="2" fillId="3" borderId="9" xfId="0" applyFont="1" applyFill="1" applyBorder="1" applyAlignment="1">
      <alignment horizontal="left" vertical="center" wrapText="1"/>
    </xf>
    <xf numFmtId="0" fontId="2" fillId="3" borderId="6" xfId="0" applyFont="1" applyFill="1" applyBorder="1" applyAlignment="1">
      <alignment horizontal="left" vertical="center" wrapText="1"/>
    </xf>
    <xf numFmtId="0" fontId="2" fillId="0" borderId="9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left" vertical="center" wrapText="1"/>
    </xf>
    <xf numFmtId="0" fontId="0" fillId="0" borderId="28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2" fillId="0" borderId="9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3" borderId="9" xfId="0" applyFont="1" applyFill="1" applyBorder="1" applyAlignment="1">
      <alignment horizontal="left" vertical="center"/>
    </xf>
    <xf numFmtId="0" fontId="2" fillId="3" borderId="6" xfId="0" applyFont="1" applyFill="1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2" fillId="0" borderId="9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" fillId="3" borderId="10" xfId="0" applyFont="1" applyFill="1" applyBorder="1" applyAlignment="1">
      <alignment horizontal="left" vertical="center" wrapText="1"/>
    </xf>
    <xf numFmtId="0" fontId="2" fillId="3" borderId="7" xfId="0" applyFont="1" applyFill="1" applyBorder="1" applyAlignment="1">
      <alignment horizontal="left" vertical="center" wrapText="1"/>
    </xf>
    <xf numFmtId="0" fontId="0" fillId="3" borderId="17" xfId="0" applyFill="1" applyBorder="1" applyAlignment="1">
      <alignment horizontal="center" vertical="center"/>
    </xf>
    <xf numFmtId="0" fontId="0" fillId="3" borderId="18" xfId="0" applyFill="1" applyBorder="1" applyAlignment="1">
      <alignment horizontal="center" vertical="center"/>
    </xf>
    <xf numFmtId="0" fontId="2" fillId="3" borderId="10" xfId="0" applyFont="1" applyFill="1" applyBorder="1" applyAlignment="1">
      <alignment horizontal="left" vertical="center"/>
    </xf>
    <xf numFmtId="0" fontId="2" fillId="3" borderId="7" xfId="0" applyFont="1" applyFill="1" applyBorder="1" applyAlignment="1">
      <alignment horizontal="left" vertical="center"/>
    </xf>
    <xf numFmtId="0" fontId="0" fillId="2" borderId="19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2" fillId="2" borderId="10" xfId="0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left" vertical="center"/>
    </xf>
    <xf numFmtId="0" fontId="0" fillId="2" borderId="17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2" fillId="0" borderId="10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left" vertical="center"/>
    </xf>
    <xf numFmtId="0" fontId="0" fillId="0" borderId="17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3" borderId="17" xfId="0" applyFill="1" applyBorder="1" applyAlignment="1">
      <alignment horizontal="center"/>
    </xf>
    <xf numFmtId="0" fontId="0" fillId="3" borderId="18" xfId="0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2" fillId="2" borderId="28" xfId="0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2" fillId="2" borderId="43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/>
    </xf>
    <xf numFmtId="0" fontId="2" fillId="2" borderId="35" xfId="0" applyFont="1" applyFill="1" applyBorder="1" applyAlignment="1">
      <alignment horizontal="center" vertical="center"/>
    </xf>
    <xf numFmtId="0" fontId="2" fillId="2" borderId="33" xfId="0" applyFont="1" applyFill="1" applyBorder="1" applyAlignment="1">
      <alignment horizontal="center" vertical="center"/>
    </xf>
    <xf numFmtId="0" fontId="2" fillId="2" borderId="45" xfId="0" applyFont="1" applyFill="1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0" fontId="2" fillId="0" borderId="19" xfId="0" applyFont="1" applyFill="1" applyBorder="1" applyAlignment="1">
      <alignment horizontal="left" vertical="center"/>
    </xf>
    <xf numFmtId="0" fontId="2" fillId="0" borderId="25" xfId="0" applyFont="1" applyFill="1" applyBorder="1" applyAlignment="1">
      <alignment horizontal="left" vertical="center"/>
    </xf>
    <xf numFmtId="0" fontId="0" fillId="0" borderId="36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</cellXfs>
  <cellStyles count="3">
    <cellStyle name="Moneda [0]" xfId="1" builtinId="7"/>
    <cellStyle name="Moneda 3" xfId="2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1E0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g"/><Relationship Id="rId10" Type="http://schemas.openxmlformats.org/officeDocument/2006/relationships/image" Target="../media/image10.jpg"/><Relationship Id="rId19" Type="http://schemas.openxmlformats.org/officeDocument/2006/relationships/image" Target="../media/image19.pn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587440</xdr:colOff>
      <xdr:row>9</xdr:row>
      <xdr:rowOff>47229</xdr:rowOff>
    </xdr:from>
    <xdr:ext cx="2036428" cy="1206246"/>
    <xdr:pic>
      <xdr:nvPicPr>
        <xdr:cNvPr id="70" name="Imagen 69">
          <a:extLst>
            <a:ext uri="{FF2B5EF4-FFF2-40B4-BE49-F238E27FC236}">
              <a16:creationId xmlns:a16="http://schemas.microsoft.com/office/drawing/2014/main" id="{3FDBF7A4-1941-44CF-AA8E-00F1BCAA9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96921" y="6139635"/>
          <a:ext cx="2036428" cy="1206246"/>
        </a:xfrm>
        <a:prstGeom prst="rect">
          <a:avLst/>
        </a:prstGeom>
      </xdr:spPr>
    </xdr:pic>
    <xdr:clientData/>
  </xdr:oneCellAnchor>
  <xdr:oneCellAnchor>
    <xdr:from>
      <xdr:col>3</xdr:col>
      <xdr:colOff>824800</xdr:colOff>
      <xdr:row>10</xdr:row>
      <xdr:rowOff>60472</xdr:rowOff>
    </xdr:from>
    <xdr:ext cx="1535944" cy="1341320"/>
    <xdr:pic>
      <xdr:nvPicPr>
        <xdr:cNvPr id="71" name="Imagen 70">
          <a:extLst>
            <a:ext uri="{FF2B5EF4-FFF2-40B4-BE49-F238E27FC236}">
              <a16:creationId xmlns:a16="http://schemas.microsoft.com/office/drawing/2014/main" id="{CA5B8F02-9813-4E96-B8FA-E69439FD19EE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57" t="11012" r="51718" b="40619"/>
        <a:stretch/>
      </xdr:blipFill>
      <xdr:spPr>
        <a:xfrm>
          <a:off x="6234281" y="7464812"/>
          <a:ext cx="1535944" cy="1341320"/>
        </a:xfrm>
        <a:prstGeom prst="rect">
          <a:avLst/>
        </a:prstGeom>
      </xdr:spPr>
    </xdr:pic>
    <xdr:clientData/>
  </xdr:oneCellAnchor>
  <xdr:oneCellAnchor>
    <xdr:from>
      <xdr:col>3</xdr:col>
      <xdr:colOff>643557</xdr:colOff>
      <xdr:row>11</xdr:row>
      <xdr:rowOff>51891</xdr:rowOff>
    </xdr:from>
    <xdr:ext cx="2016257" cy="1187634"/>
    <xdr:pic>
      <xdr:nvPicPr>
        <xdr:cNvPr id="72" name="Imagen 71">
          <a:extLst>
            <a:ext uri="{FF2B5EF4-FFF2-40B4-BE49-F238E27FC236}">
              <a16:creationId xmlns:a16="http://schemas.microsoft.com/office/drawing/2014/main" id="{73FDA351-D44B-4F08-B987-3DAC1C01F2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44" t="9692" r="4109" b="20893"/>
        <a:stretch/>
      </xdr:blipFill>
      <xdr:spPr>
        <a:xfrm>
          <a:off x="6053038" y="8911938"/>
          <a:ext cx="2016257" cy="1187634"/>
        </a:xfrm>
        <a:prstGeom prst="rect">
          <a:avLst/>
        </a:prstGeom>
      </xdr:spPr>
    </xdr:pic>
    <xdr:clientData/>
  </xdr:oneCellAnchor>
  <xdr:oneCellAnchor>
    <xdr:from>
      <xdr:col>3</xdr:col>
      <xdr:colOff>590260</xdr:colOff>
      <xdr:row>12</xdr:row>
      <xdr:rowOff>66608</xdr:rowOff>
    </xdr:from>
    <xdr:ext cx="2087524" cy="1278190"/>
    <xdr:pic>
      <xdr:nvPicPr>
        <xdr:cNvPr id="73" name="Imagen 72" descr="Imagen que contiene interior, monitor&#10;&#10;&#10;&#10;Descripción generada automáticamente">
          <a:extLst>
            <a:ext uri="{FF2B5EF4-FFF2-40B4-BE49-F238E27FC236}">
              <a16:creationId xmlns:a16="http://schemas.microsoft.com/office/drawing/2014/main" id="{C1DB8194-3F25-489E-8194-2B0B21D1D0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6173" t="9861" r="6644" b="21318"/>
        <a:stretch/>
      </xdr:blipFill>
      <xdr:spPr>
        <a:xfrm>
          <a:off x="5999741" y="10238589"/>
          <a:ext cx="2087524" cy="1278190"/>
        </a:xfrm>
        <a:prstGeom prst="rect">
          <a:avLst/>
        </a:prstGeom>
      </xdr:spPr>
    </xdr:pic>
    <xdr:clientData/>
  </xdr:oneCellAnchor>
  <xdr:oneCellAnchor>
    <xdr:from>
      <xdr:col>3</xdr:col>
      <xdr:colOff>522582</xdr:colOff>
      <xdr:row>13</xdr:row>
      <xdr:rowOff>46501</xdr:rowOff>
    </xdr:from>
    <xdr:ext cx="2363949" cy="1211517"/>
    <xdr:pic>
      <xdr:nvPicPr>
        <xdr:cNvPr id="74" name="Imagen 73" descr="Imagen que contiene edificio&#10;&#10;Descripción generada con confianza muy alta">
          <a:extLst>
            <a:ext uri="{FF2B5EF4-FFF2-40B4-BE49-F238E27FC236}">
              <a16:creationId xmlns:a16="http://schemas.microsoft.com/office/drawing/2014/main" id="{66466996-C730-426D-90A0-8508663777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69" t="22686" r="8469" b="22686"/>
        <a:stretch/>
      </xdr:blipFill>
      <xdr:spPr>
        <a:xfrm>
          <a:off x="5932063" y="11620275"/>
          <a:ext cx="2363949" cy="1211517"/>
        </a:xfrm>
        <a:prstGeom prst="rect">
          <a:avLst/>
        </a:prstGeom>
      </xdr:spPr>
    </xdr:pic>
    <xdr:clientData/>
  </xdr:oneCellAnchor>
  <xdr:oneCellAnchor>
    <xdr:from>
      <xdr:col>3</xdr:col>
      <xdr:colOff>615630</xdr:colOff>
      <xdr:row>25</xdr:row>
      <xdr:rowOff>37025</xdr:rowOff>
    </xdr:from>
    <xdr:ext cx="2447251" cy="1436655"/>
    <xdr:pic>
      <xdr:nvPicPr>
        <xdr:cNvPr id="75" name="Imagen 74">
          <a:extLst>
            <a:ext uri="{FF2B5EF4-FFF2-40B4-BE49-F238E27FC236}">
              <a16:creationId xmlns:a16="http://schemas.microsoft.com/office/drawing/2014/main" id="{361764F3-0735-4407-9040-C6734C5114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0" t="10637" r="4599" b="20893"/>
        <a:stretch/>
      </xdr:blipFill>
      <xdr:spPr>
        <a:xfrm>
          <a:off x="6025111" y="28773770"/>
          <a:ext cx="2447251" cy="1436655"/>
        </a:xfrm>
        <a:prstGeom prst="rect">
          <a:avLst/>
        </a:prstGeom>
      </xdr:spPr>
    </xdr:pic>
    <xdr:clientData/>
  </xdr:oneCellAnchor>
  <xdr:oneCellAnchor>
    <xdr:from>
      <xdr:col>3</xdr:col>
      <xdr:colOff>778971</xdr:colOff>
      <xdr:row>15</xdr:row>
      <xdr:rowOff>67539</xdr:rowOff>
    </xdr:from>
    <xdr:ext cx="1826928" cy="1098975"/>
    <xdr:pic>
      <xdr:nvPicPr>
        <xdr:cNvPr id="76" name="Imagen 75">
          <a:extLst>
            <a:ext uri="{FF2B5EF4-FFF2-40B4-BE49-F238E27FC236}">
              <a16:creationId xmlns:a16="http://schemas.microsoft.com/office/drawing/2014/main" id="{9AB34481-BDD5-4A88-B298-63CDCDC1BD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1" t="10243" r="4397" b="20929"/>
        <a:stretch/>
      </xdr:blipFill>
      <xdr:spPr>
        <a:xfrm>
          <a:off x="6188452" y="14319096"/>
          <a:ext cx="1826928" cy="1098975"/>
        </a:xfrm>
        <a:prstGeom prst="rect">
          <a:avLst/>
        </a:prstGeom>
      </xdr:spPr>
    </xdr:pic>
    <xdr:clientData/>
  </xdr:oneCellAnchor>
  <xdr:oneCellAnchor>
    <xdr:from>
      <xdr:col>3</xdr:col>
      <xdr:colOff>646098</xdr:colOff>
      <xdr:row>14</xdr:row>
      <xdr:rowOff>62843</xdr:rowOff>
    </xdr:from>
    <xdr:ext cx="2085601" cy="1237727"/>
    <xdr:pic>
      <xdr:nvPicPr>
        <xdr:cNvPr id="77" name="Imagen 76">
          <a:extLst>
            <a:ext uri="{FF2B5EF4-FFF2-40B4-BE49-F238E27FC236}">
              <a16:creationId xmlns:a16="http://schemas.microsoft.com/office/drawing/2014/main" id="{D169C6EB-6792-462E-A2A8-2357ABE31C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8" t="10047" r="4560" b="19557"/>
        <a:stretch/>
      </xdr:blipFill>
      <xdr:spPr>
        <a:xfrm>
          <a:off x="6055579" y="12966522"/>
          <a:ext cx="2085601" cy="1237727"/>
        </a:xfrm>
        <a:prstGeom prst="rect">
          <a:avLst/>
        </a:prstGeom>
      </xdr:spPr>
    </xdr:pic>
    <xdr:clientData/>
  </xdr:oneCellAnchor>
  <xdr:oneCellAnchor>
    <xdr:from>
      <xdr:col>3</xdr:col>
      <xdr:colOff>694799</xdr:colOff>
      <xdr:row>17</xdr:row>
      <xdr:rowOff>48768</xdr:rowOff>
    </xdr:from>
    <xdr:ext cx="2090815" cy="1268392"/>
    <xdr:pic>
      <xdr:nvPicPr>
        <xdr:cNvPr id="78" name="Imagen 77">
          <a:extLst>
            <a:ext uri="{FF2B5EF4-FFF2-40B4-BE49-F238E27FC236}">
              <a16:creationId xmlns:a16="http://schemas.microsoft.com/office/drawing/2014/main" id="{7835CA57-FEE7-4AB0-8BB6-024F764C31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4122" t="24406" r="27654" b="23758"/>
        <a:stretch/>
      </xdr:blipFill>
      <xdr:spPr>
        <a:xfrm>
          <a:off x="6104280" y="17067966"/>
          <a:ext cx="2090815" cy="1268392"/>
        </a:xfrm>
        <a:prstGeom prst="rect">
          <a:avLst/>
        </a:prstGeom>
      </xdr:spPr>
    </xdr:pic>
    <xdr:clientData/>
  </xdr:oneCellAnchor>
  <xdr:oneCellAnchor>
    <xdr:from>
      <xdr:col>3</xdr:col>
      <xdr:colOff>609525</xdr:colOff>
      <xdr:row>18</xdr:row>
      <xdr:rowOff>87282</xdr:rowOff>
    </xdr:from>
    <xdr:ext cx="2235200" cy="1314510"/>
    <xdr:pic>
      <xdr:nvPicPr>
        <xdr:cNvPr id="79" name="Imagen 78">
          <a:extLst>
            <a:ext uri="{FF2B5EF4-FFF2-40B4-BE49-F238E27FC236}">
              <a16:creationId xmlns:a16="http://schemas.microsoft.com/office/drawing/2014/main" id="{4C145FCB-1F34-478A-AFA7-5F2789EB03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512" t="9618" r="4512" b="21593"/>
        <a:stretch/>
      </xdr:blipFill>
      <xdr:spPr>
        <a:xfrm>
          <a:off x="6019006" y="18490301"/>
          <a:ext cx="2235200" cy="1314510"/>
        </a:xfrm>
        <a:prstGeom prst="rect">
          <a:avLst/>
        </a:prstGeom>
      </xdr:spPr>
    </xdr:pic>
    <xdr:clientData/>
  </xdr:oneCellAnchor>
  <xdr:oneCellAnchor>
    <xdr:from>
      <xdr:col>3</xdr:col>
      <xdr:colOff>609926</xdr:colOff>
      <xdr:row>19</xdr:row>
      <xdr:rowOff>67365</xdr:rowOff>
    </xdr:from>
    <xdr:ext cx="2243678" cy="1298483"/>
    <xdr:pic>
      <xdr:nvPicPr>
        <xdr:cNvPr id="80" name="Imagen 79">
          <a:extLst>
            <a:ext uri="{FF2B5EF4-FFF2-40B4-BE49-F238E27FC236}">
              <a16:creationId xmlns:a16="http://schemas.microsoft.com/office/drawing/2014/main" id="{764B8148-6D22-4510-9B03-AB660F5137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4844" t="11166" r="5018" b="21111"/>
        <a:stretch/>
      </xdr:blipFill>
      <xdr:spPr>
        <a:xfrm>
          <a:off x="6019407" y="19962035"/>
          <a:ext cx="2243678" cy="1298483"/>
        </a:xfrm>
        <a:prstGeom prst="rect">
          <a:avLst/>
        </a:prstGeom>
      </xdr:spPr>
    </xdr:pic>
    <xdr:clientData/>
  </xdr:oneCellAnchor>
  <xdr:oneCellAnchor>
    <xdr:from>
      <xdr:col>3</xdr:col>
      <xdr:colOff>602372</xdr:colOff>
      <xdr:row>21</xdr:row>
      <xdr:rowOff>49102</xdr:rowOff>
    </xdr:from>
    <xdr:ext cx="2255128" cy="1354774"/>
    <xdr:pic>
      <xdr:nvPicPr>
        <xdr:cNvPr id="81" name="Imagen 80" descr="03">
          <a:extLst>
            <a:ext uri="{FF2B5EF4-FFF2-40B4-BE49-F238E27FC236}">
              <a16:creationId xmlns:a16="http://schemas.microsoft.com/office/drawing/2014/main" id="{950A9C78-2356-4455-A811-E1B2610521A9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2" cstate="email">
          <a:lum/>
          <a:extLst>
            <a:ext uri="{28A0092B-C50C-407E-A947-70E740481C1C}">
              <a14:useLocalDpi xmlns:a14="http://schemas.microsoft.com/office/drawing/2010/main"/>
            </a:ext>
          </a:extLst>
        </a:blip>
        <a:srcRect l="5029" t="9392" r="4203" b="20189"/>
        <a:stretch/>
      </xdr:blipFill>
      <xdr:spPr>
        <a:xfrm>
          <a:off x="6011853" y="22855187"/>
          <a:ext cx="2255128" cy="1354774"/>
        </a:xfrm>
        <a:prstGeom prst="rect">
          <a:avLst/>
        </a:prstGeom>
      </xdr:spPr>
    </xdr:pic>
    <xdr:clientData/>
  </xdr:oneCellAnchor>
  <xdr:oneCellAnchor>
    <xdr:from>
      <xdr:col>3</xdr:col>
      <xdr:colOff>637166</xdr:colOff>
      <xdr:row>22</xdr:row>
      <xdr:rowOff>49311</xdr:rowOff>
    </xdr:from>
    <xdr:ext cx="2345948" cy="1388425"/>
    <xdr:pic>
      <xdr:nvPicPr>
        <xdr:cNvPr id="82" name="Imagen 81">
          <a:extLst>
            <a:ext uri="{FF2B5EF4-FFF2-40B4-BE49-F238E27FC236}">
              <a16:creationId xmlns:a16="http://schemas.microsoft.com/office/drawing/2014/main" id="{8A36D31B-6B0F-44D4-B0F3-DB926A819E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" t="9850" r="4093" b="19949"/>
        <a:stretch/>
      </xdr:blipFill>
      <xdr:spPr>
        <a:xfrm>
          <a:off x="6046647" y="24329075"/>
          <a:ext cx="2345948" cy="1388425"/>
        </a:xfrm>
        <a:prstGeom prst="rect">
          <a:avLst/>
        </a:prstGeom>
      </xdr:spPr>
    </xdr:pic>
    <xdr:clientData/>
  </xdr:oneCellAnchor>
  <xdr:oneCellAnchor>
    <xdr:from>
      <xdr:col>3</xdr:col>
      <xdr:colOff>609607</xdr:colOff>
      <xdr:row>24</xdr:row>
      <xdr:rowOff>47731</xdr:rowOff>
    </xdr:from>
    <xdr:ext cx="2319779" cy="1372612"/>
    <xdr:pic>
      <xdr:nvPicPr>
        <xdr:cNvPr id="83" name="Imagen 82">
          <a:extLst>
            <a:ext uri="{FF2B5EF4-FFF2-40B4-BE49-F238E27FC236}">
              <a16:creationId xmlns:a16="http://schemas.microsoft.com/office/drawing/2014/main" id="{29330A9B-AB0B-4763-A849-E2AD3B08A9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17" t="11157" r="4975" b="20082"/>
        <a:stretch/>
      </xdr:blipFill>
      <xdr:spPr>
        <a:xfrm>
          <a:off x="6019088" y="27328769"/>
          <a:ext cx="2319779" cy="1372612"/>
        </a:xfrm>
        <a:prstGeom prst="rect">
          <a:avLst/>
        </a:prstGeom>
      </xdr:spPr>
    </xdr:pic>
    <xdr:clientData/>
  </xdr:oneCellAnchor>
  <xdr:oneCellAnchor>
    <xdr:from>
      <xdr:col>3</xdr:col>
      <xdr:colOff>623126</xdr:colOff>
      <xdr:row>23</xdr:row>
      <xdr:rowOff>53865</xdr:rowOff>
    </xdr:from>
    <xdr:ext cx="2306261" cy="1383772"/>
    <xdr:pic>
      <xdr:nvPicPr>
        <xdr:cNvPr id="84" name="Imagen 83">
          <a:extLst>
            <a:ext uri="{FF2B5EF4-FFF2-40B4-BE49-F238E27FC236}">
              <a16:creationId xmlns:a16="http://schemas.microsoft.com/office/drawing/2014/main" id="{311355AE-E074-4A2D-B147-4D9A6718AC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95" t="11520" r="7756" b="20865"/>
        <a:stretch/>
      </xdr:blipFill>
      <xdr:spPr>
        <a:xfrm>
          <a:off x="6032607" y="25843252"/>
          <a:ext cx="2306261" cy="1383772"/>
        </a:xfrm>
        <a:prstGeom prst="rect">
          <a:avLst/>
        </a:prstGeom>
      </xdr:spPr>
    </xdr:pic>
    <xdr:clientData/>
  </xdr:oneCellAnchor>
  <xdr:oneCellAnchor>
    <xdr:from>
      <xdr:col>3</xdr:col>
      <xdr:colOff>607313</xdr:colOff>
      <xdr:row>26</xdr:row>
      <xdr:rowOff>69378</xdr:rowOff>
    </xdr:from>
    <xdr:ext cx="2411932" cy="1398019"/>
    <xdr:pic>
      <xdr:nvPicPr>
        <xdr:cNvPr id="85" name="Imagen 84">
          <a:extLst>
            <a:ext uri="{FF2B5EF4-FFF2-40B4-BE49-F238E27FC236}">
              <a16:creationId xmlns:a16="http://schemas.microsoft.com/office/drawing/2014/main" id="{0B495675-34DB-4CE6-9879-169C5072C9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4" t="10322" r="4354" b="20893"/>
        <a:stretch/>
      </xdr:blipFill>
      <xdr:spPr>
        <a:xfrm>
          <a:off x="6016794" y="30351689"/>
          <a:ext cx="2411932" cy="1398019"/>
        </a:xfrm>
        <a:prstGeom prst="rect">
          <a:avLst/>
        </a:prstGeom>
      </xdr:spPr>
    </xdr:pic>
    <xdr:clientData/>
  </xdr:oneCellAnchor>
  <xdr:oneCellAnchor>
    <xdr:from>
      <xdr:col>3</xdr:col>
      <xdr:colOff>610310</xdr:colOff>
      <xdr:row>27</xdr:row>
      <xdr:rowOff>92983</xdr:rowOff>
    </xdr:from>
    <xdr:ext cx="2283134" cy="1274455"/>
    <xdr:pic>
      <xdr:nvPicPr>
        <xdr:cNvPr id="86" name="Imagen 85">
          <a:extLst>
            <a:ext uri="{FF2B5EF4-FFF2-40B4-BE49-F238E27FC236}">
              <a16:creationId xmlns:a16="http://schemas.microsoft.com/office/drawing/2014/main" id="{48B88F9A-C278-4A9F-8A7B-AD04B1826E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8" t="9654" r="5161" b="20734"/>
        <a:stretch/>
      </xdr:blipFill>
      <xdr:spPr>
        <a:xfrm>
          <a:off x="6019791" y="31902889"/>
          <a:ext cx="2283134" cy="1274455"/>
        </a:xfrm>
        <a:prstGeom prst="rect">
          <a:avLst/>
        </a:prstGeom>
      </xdr:spPr>
    </xdr:pic>
    <xdr:clientData/>
  </xdr:oneCellAnchor>
  <xdr:oneCellAnchor>
    <xdr:from>
      <xdr:col>3</xdr:col>
      <xdr:colOff>603677</xdr:colOff>
      <xdr:row>28</xdr:row>
      <xdr:rowOff>74668</xdr:rowOff>
    </xdr:from>
    <xdr:ext cx="2415568" cy="1387335"/>
    <xdr:pic>
      <xdr:nvPicPr>
        <xdr:cNvPr id="87" name="Imagen 86">
          <a:extLst>
            <a:ext uri="{FF2B5EF4-FFF2-40B4-BE49-F238E27FC236}">
              <a16:creationId xmlns:a16="http://schemas.microsoft.com/office/drawing/2014/main" id="{701EB107-C729-4A3B-8595-A990046B41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4492" t="9162" r="4492" b="23629"/>
        <a:stretch/>
      </xdr:blipFill>
      <xdr:spPr>
        <a:xfrm>
          <a:off x="6013158" y="33322310"/>
          <a:ext cx="2415568" cy="1387335"/>
        </a:xfrm>
        <a:prstGeom prst="rect">
          <a:avLst/>
        </a:prstGeom>
      </xdr:spPr>
    </xdr:pic>
    <xdr:clientData/>
  </xdr:oneCellAnchor>
  <xdr:oneCellAnchor>
    <xdr:from>
      <xdr:col>3</xdr:col>
      <xdr:colOff>1124836</xdr:colOff>
      <xdr:row>30</xdr:row>
      <xdr:rowOff>73877</xdr:rowOff>
    </xdr:from>
    <xdr:ext cx="1373229" cy="1144795"/>
    <xdr:pic>
      <xdr:nvPicPr>
        <xdr:cNvPr id="88" name="Imagen 87">
          <a:extLst>
            <a:ext uri="{FF2B5EF4-FFF2-40B4-BE49-F238E27FC236}">
              <a16:creationId xmlns:a16="http://schemas.microsoft.com/office/drawing/2014/main" id="{245954C3-1396-4251-A867-131BB95069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24528" t="11225" r="23704" b="12015"/>
        <a:stretch/>
      </xdr:blipFill>
      <xdr:spPr>
        <a:xfrm>
          <a:off x="6534317" y="36376707"/>
          <a:ext cx="1373229" cy="1144795"/>
        </a:xfrm>
        <a:prstGeom prst="rect">
          <a:avLst/>
        </a:prstGeom>
      </xdr:spPr>
    </xdr:pic>
    <xdr:clientData/>
  </xdr:oneCellAnchor>
  <xdr:oneCellAnchor>
    <xdr:from>
      <xdr:col>3</xdr:col>
      <xdr:colOff>655727</xdr:colOff>
      <xdr:row>29</xdr:row>
      <xdr:rowOff>76638</xdr:rowOff>
    </xdr:from>
    <xdr:ext cx="2309603" cy="1378933"/>
    <xdr:pic>
      <xdr:nvPicPr>
        <xdr:cNvPr id="89" name="Imagen 88" descr="Imagen que contiene edificio&#10;&#10;Descripción generada con confianza alta">
          <a:extLst>
            <a:ext uri="{FF2B5EF4-FFF2-40B4-BE49-F238E27FC236}">
              <a16:creationId xmlns:a16="http://schemas.microsoft.com/office/drawing/2014/main" id="{DA1BD7B4-5E6D-4711-8410-E9EA242177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l="5262" t="10825" r="5262" b="20904"/>
        <a:stretch/>
      </xdr:blipFill>
      <xdr:spPr>
        <a:xfrm>
          <a:off x="6065208" y="34851874"/>
          <a:ext cx="2309603" cy="1378933"/>
        </a:xfrm>
        <a:prstGeom prst="rect">
          <a:avLst/>
        </a:prstGeom>
      </xdr:spPr>
    </xdr:pic>
    <xdr:clientData/>
  </xdr:oneCellAnchor>
  <xdr:oneCellAnchor>
    <xdr:from>
      <xdr:col>3</xdr:col>
      <xdr:colOff>1099497</xdr:colOff>
      <xdr:row>16</xdr:row>
      <xdr:rowOff>44727</xdr:rowOff>
    </xdr:from>
    <xdr:ext cx="1164937" cy="1344307"/>
    <xdr:pic>
      <xdr:nvPicPr>
        <xdr:cNvPr id="90" name="Imagen 89">
          <a:extLst>
            <a:ext uri="{FF2B5EF4-FFF2-40B4-BE49-F238E27FC236}">
              <a16:creationId xmlns:a16="http://schemas.microsoft.com/office/drawing/2014/main" id="{76E53447-DCF5-4E16-A56E-72B22DF2C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978" y="15554302"/>
          <a:ext cx="1164937" cy="1344307"/>
        </a:xfrm>
        <a:prstGeom prst="rect">
          <a:avLst/>
        </a:prstGeom>
      </xdr:spPr>
    </xdr:pic>
    <xdr:clientData/>
  </xdr:oneCellAnchor>
  <xdr:oneCellAnchor>
    <xdr:from>
      <xdr:col>3</xdr:col>
      <xdr:colOff>674660</xdr:colOff>
      <xdr:row>6</xdr:row>
      <xdr:rowOff>68521</xdr:rowOff>
    </xdr:from>
    <xdr:ext cx="1931238" cy="1217395"/>
    <xdr:pic>
      <xdr:nvPicPr>
        <xdr:cNvPr id="91" name="Imagen 90">
          <a:extLst>
            <a:ext uri="{FF2B5EF4-FFF2-40B4-BE49-F238E27FC236}">
              <a16:creationId xmlns:a16="http://schemas.microsoft.com/office/drawing/2014/main" id="{25F745F6-81A9-4786-817F-DED0F6414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084141" y="1973521"/>
          <a:ext cx="1931238" cy="1217395"/>
        </a:xfrm>
        <a:prstGeom prst="rect">
          <a:avLst/>
        </a:prstGeom>
      </xdr:spPr>
    </xdr:pic>
    <xdr:clientData/>
  </xdr:oneCellAnchor>
  <xdr:oneCellAnchor>
    <xdr:from>
      <xdr:col>3</xdr:col>
      <xdr:colOff>527759</xdr:colOff>
      <xdr:row>7</xdr:row>
      <xdr:rowOff>68323</xdr:rowOff>
    </xdr:from>
    <xdr:ext cx="2185968" cy="1279553"/>
    <xdr:pic>
      <xdr:nvPicPr>
        <xdr:cNvPr id="92" name="Imagen 91">
          <a:extLst>
            <a:ext uri="{FF2B5EF4-FFF2-40B4-BE49-F238E27FC236}">
              <a16:creationId xmlns:a16="http://schemas.microsoft.com/office/drawing/2014/main" id="{EA4AA996-3C91-4C8D-AD24-5BB7B17389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l="4595" t="11166" r="4513" b="20224"/>
        <a:stretch/>
      </xdr:blipFill>
      <xdr:spPr>
        <a:xfrm>
          <a:off x="5937240" y="3339172"/>
          <a:ext cx="2185968" cy="1279553"/>
        </a:xfrm>
        <a:prstGeom prst="rect">
          <a:avLst/>
        </a:prstGeom>
      </xdr:spPr>
    </xdr:pic>
    <xdr:clientData/>
  </xdr:oneCellAnchor>
  <xdr:oneCellAnchor>
    <xdr:from>
      <xdr:col>3</xdr:col>
      <xdr:colOff>951538</xdr:colOff>
      <xdr:row>8</xdr:row>
      <xdr:rowOff>85042</xdr:rowOff>
    </xdr:from>
    <xdr:ext cx="1061292" cy="1230363"/>
    <xdr:pic>
      <xdr:nvPicPr>
        <xdr:cNvPr id="93" name="Picture 2" descr="1621c8af48d4cd34f0f1">
          <a:extLst>
            <a:ext uri="{FF2B5EF4-FFF2-40B4-BE49-F238E27FC236}">
              <a16:creationId xmlns:a16="http://schemas.microsoft.com/office/drawing/2014/main" id="{83EE1BF5-72E7-4947-916F-FA1C3868F2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99" t="25505" r="44428" b="6154"/>
        <a:stretch/>
      </xdr:blipFill>
      <xdr:spPr bwMode="auto">
        <a:xfrm>
          <a:off x="6361019" y="4829570"/>
          <a:ext cx="1061292" cy="1230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610919</xdr:colOff>
      <xdr:row>20</xdr:row>
      <xdr:rowOff>81518</xdr:rowOff>
    </xdr:from>
    <xdr:ext cx="2264553" cy="1321793"/>
    <xdr:pic>
      <xdr:nvPicPr>
        <xdr:cNvPr id="94" name="Imagen 93">
          <a:extLst>
            <a:ext uri="{FF2B5EF4-FFF2-40B4-BE49-F238E27FC236}">
              <a16:creationId xmlns:a16="http://schemas.microsoft.com/office/drawing/2014/main" id="{6B624DF5-70FF-4741-8C2C-E0B59FD1A7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10" t="10638" r="5335" b="22155"/>
        <a:stretch/>
      </xdr:blipFill>
      <xdr:spPr>
        <a:xfrm>
          <a:off x="6020400" y="21413924"/>
          <a:ext cx="2264553" cy="1321793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uarios\sbernal\AppData\Local\Microsoft\Windows\INetCache\Content.Outlook\BPQFE4C3\Tarifario%20PROPONENTE%202-%20Unique%20Arquitectura%20y%20Dise&#241;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uarios\sbernal\AppData\Local\Microsoft\Windows\INetCache\Content.Outlook\BPQFE4C3\TARIFARIO%20PROPONENTE%201.%20DU%20BRAND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</sheetNames>
    <sheetDataSet>
      <sheetData sheetId="0">
        <row r="8">
          <cell r="G8">
            <v>1517250</v>
          </cell>
        </row>
        <row r="14">
          <cell r="J14">
            <v>1612450</v>
          </cell>
        </row>
        <row r="16">
          <cell r="J16">
            <v>1527450</v>
          </cell>
        </row>
        <row r="34">
          <cell r="I34">
            <v>400520</v>
          </cell>
        </row>
        <row r="36">
          <cell r="I36">
            <v>342720</v>
          </cell>
        </row>
        <row r="38">
          <cell r="I38">
            <v>228480</v>
          </cell>
        </row>
        <row r="40">
          <cell r="G40">
            <v>76500</v>
          </cell>
          <cell r="I40">
            <v>76500</v>
          </cell>
        </row>
        <row r="42">
          <cell r="G42">
            <v>1014043</v>
          </cell>
        </row>
        <row r="44">
          <cell r="G44">
            <v>1103518</v>
          </cell>
          <cell r="I44">
            <v>1103518</v>
          </cell>
        </row>
        <row r="52">
          <cell r="J52">
            <v>48308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MATERIALES "/>
      <sheetName val="MOBILIARIO"/>
      <sheetName val="PERSONAL"/>
      <sheetName val="TÉCNICA"/>
      <sheetName val="TRANSPORTE"/>
    </sheetNames>
    <sheetDataSet>
      <sheetData sheetId="0">
        <row r="7">
          <cell r="H7">
            <v>1242216</v>
          </cell>
        </row>
        <row r="13">
          <cell r="I13">
            <v>1518750</v>
          </cell>
        </row>
        <row r="15">
          <cell r="I15">
            <v>1239300</v>
          </cell>
        </row>
        <row r="33">
          <cell r="I33">
            <v>1199205</v>
          </cell>
        </row>
        <row r="35">
          <cell r="I35">
            <v>432000</v>
          </cell>
        </row>
        <row r="37">
          <cell r="I37">
            <v>340200</v>
          </cell>
        </row>
        <row r="39">
          <cell r="I39">
            <v>52380</v>
          </cell>
          <cell r="M39">
            <v>52380</v>
          </cell>
        </row>
        <row r="41">
          <cell r="M41">
            <v>206550</v>
          </cell>
        </row>
        <row r="43">
          <cell r="I43">
            <v>229500</v>
          </cell>
          <cell r="M43">
            <v>229500</v>
          </cell>
        </row>
        <row r="51">
          <cell r="I51">
            <v>126968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abSelected="1" zoomScale="64" zoomScaleNormal="64" workbookViewId="0">
      <selection activeCell="A32" sqref="A32:K49"/>
    </sheetView>
  </sheetViews>
  <sheetFormatPr baseColWidth="10" defaultRowHeight="15" x14ac:dyDescent="0.25"/>
  <cols>
    <col min="1" max="1" width="5.7109375" customWidth="1"/>
    <col min="2" max="2" width="25.28515625" customWidth="1"/>
    <col min="3" max="3" width="50.140625" customWidth="1"/>
    <col min="4" max="4" width="51.140625" customWidth="1"/>
    <col min="5" max="6" width="26.85546875" customWidth="1"/>
    <col min="7" max="8" width="24.140625" hidden="1" customWidth="1"/>
    <col min="9" max="9" width="24.140625" customWidth="1"/>
    <col min="10" max="10" width="25.42578125" customWidth="1"/>
    <col min="11" max="11" width="27.28515625" customWidth="1"/>
  </cols>
  <sheetData>
    <row r="1" spans="1:20" s="2" customFormat="1" ht="15" customHeight="1" x14ac:dyDescent="0.25">
      <c r="A1" s="221" t="s">
        <v>164</v>
      </c>
      <c r="B1" s="222"/>
      <c r="C1" s="222"/>
      <c r="D1" s="222"/>
      <c r="E1" s="222"/>
      <c r="F1" s="222"/>
      <c r="G1" s="222"/>
      <c r="H1" s="222"/>
      <c r="I1" s="222"/>
      <c r="J1" s="222"/>
      <c r="K1" s="223"/>
      <c r="L1" s="209"/>
      <c r="M1" s="209"/>
      <c r="N1" s="209"/>
      <c r="O1" s="209"/>
      <c r="P1" s="209"/>
      <c r="Q1" s="209"/>
      <c r="R1" s="209"/>
      <c r="S1" s="209"/>
      <c r="T1" s="210"/>
    </row>
    <row r="2" spans="1:20" s="2" customFormat="1" ht="15" customHeight="1" x14ac:dyDescent="0.25">
      <c r="A2" s="224"/>
      <c r="B2" s="225"/>
      <c r="C2" s="225"/>
      <c r="D2" s="225"/>
      <c r="E2" s="225"/>
      <c r="F2" s="225"/>
      <c r="G2" s="225"/>
      <c r="H2" s="225"/>
      <c r="I2" s="225"/>
      <c r="J2" s="225"/>
      <c r="K2" s="226"/>
      <c r="L2" s="211"/>
      <c r="M2" s="211"/>
      <c r="N2" s="211"/>
      <c r="O2" s="211"/>
      <c r="P2" s="211"/>
      <c r="Q2" s="211"/>
      <c r="R2" s="211"/>
      <c r="S2" s="211"/>
      <c r="T2" s="212"/>
    </row>
    <row r="3" spans="1:20" s="2" customFormat="1" ht="15.75" customHeight="1" thickBot="1" x14ac:dyDescent="0.3">
      <c r="A3" s="227"/>
      <c r="B3" s="228"/>
      <c r="C3" s="228"/>
      <c r="D3" s="228"/>
      <c r="E3" s="228"/>
      <c r="F3" s="228"/>
      <c r="G3" s="228"/>
      <c r="H3" s="228"/>
      <c r="I3" s="228"/>
      <c r="J3" s="228"/>
      <c r="K3" s="229"/>
      <c r="L3" s="211"/>
      <c r="M3" s="211"/>
      <c r="N3" s="211"/>
      <c r="O3" s="211"/>
      <c r="P3" s="211"/>
      <c r="Q3" s="211"/>
      <c r="R3" s="211"/>
      <c r="S3" s="211"/>
      <c r="T3" s="212"/>
    </row>
    <row r="4" spans="1:20" s="1" customFormat="1" ht="15.75" thickBot="1" x14ac:dyDescent="0.3">
      <c r="A4" s="218"/>
      <c r="B4" s="219"/>
      <c r="C4" s="219"/>
      <c r="D4" s="219"/>
      <c r="E4" s="219"/>
      <c r="F4" s="219"/>
      <c r="G4" s="219"/>
      <c r="H4" s="219"/>
      <c r="I4" s="219"/>
      <c r="J4" s="219"/>
      <c r="K4" s="220"/>
      <c r="L4" s="211"/>
      <c r="M4" s="211"/>
      <c r="N4" s="211"/>
      <c r="O4" s="211"/>
      <c r="P4" s="211"/>
      <c r="Q4" s="211"/>
      <c r="R4" s="211"/>
      <c r="S4" s="211"/>
      <c r="T4" s="212"/>
    </row>
    <row r="5" spans="1:20" s="2" customFormat="1" ht="87" customHeight="1" thickBot="1" x14ac:dyDescent="0.3">
      <c r="A5" s="38" t="s">
        <v>160</v>
      </c>
      <c r="B5" s="39" t="s">
        <v>7</v>
      </c>
      <c r="C5" s="48" t="s">
        <v>0</v>
      </c>
      <c r="D5" s="40" t="s">
        <v>190</v>
      </c>
      <c r="E5" s="215" t="s">
        <v>177</v>
      </c>
      <c r="F5" s="216"/>
      <c r="G5" s="216"/>
      <c r="H5" s="216"/>
      <c r="I5" s="216"/>
      <c r="J5" s="216"/>
      <c r="K5" s="217"/>
      <c r="L5" s="211"/>
      <c r="M5" s="211"/>
      <c r="N5" s="211"/>
      <c r="O5" s="211"/>
      <c r="P5" s="211"/>
      <c r="Q5" s="211"/>
      <c r="R5" s="211"/>
      <c r="S5" s="211"/>
      <c r="T5" s="212"/>
    </row>
    <row r="6" spans="1:20" s="1" customFormat="1" ht="41.25" customHeight="1" thickBot="1" x14ac:dyDescent="0.3">
      <c r="A6" s="29">
        <v>1</v>
      </c>
      <c r="B6" s="41"/>
      <c r="C6" s="47"/>
      <c r="D6" s="42"/>
      <c r="E6" s="43" t="s">
        <v>180</v>
      </c>
      <c r="F6" s="31" t="s">
        <v>174</v>
      </c>
      <c r="G6" s="77" t="s">
        <v>186</v>
      </c>
      <c r="H6" s="77" t="s">
        <v>187</v>
      </c>
      <c r="I6" s="31" t="s">
        <v>175</v>
      </c>
      <c r="J6" s="31" t="s">
        <v>176</v>
      </c>
      <c r="K6" s="32" t="s">
        <v>178</v>
      </c>
      <c r="L6" s="211"/>
      <c r="M6" s="211"/>
      <c r="N6" s="211"/>
      <c r="O6" s="211"/>
      <c r="P6" s="211"/>
      <c r="Q6" s="211"/>
      <c r="R6" s="211"/>
      <c r="S6" s="211"/>
      <c r="T6" s="212"/>
    </row>
    <row r="7" spans="1:20" s="2" customFormat="1" ht="108" customHeight="1" thickBot="1" x14ac:dyDescent="0.3">
      <c r="A7" s="111">
        <v>1</v>
      </c>
      <c r="B7" s="109" t="s">
        <v>4</v>
      </c>
      <c r="C7" s="110" t="s">
        <v>170</v>
      </c>
      <c r="D7" s="93"/>
      <c r="E7" s="115" t="s">
        <v>191</v>
      </c>
      <c r="F7" s="76">
        <v>1632000</v>
      </c>
      <c r="G7" s="88">
        <v>1517250</v>
      </c>
      <c r="H7" s="80">
        <v>1242216</v>
      </c>
      <c r="I7" s="25">
        <f>(F7*-90%)</f>
        <v>-1468800</v>
      </c>
      <c r="J7" s="25"/>
      <c r="K7" s="26"/>
      <c r="L7" s="211"/>
      <c r="M7" s="211"/>
      <c r="N7" s="211"/>
      <c r="O7" s="211"/>
      <c r="P7" s="211"/>
      <c r="Q7" s="211"/>
      <c r="R7" s="211"/>
      <c r="S7" s="211"/>
      <c r="T7" s="212"/>
    </row>
    <row r="8" spans="1:20" s="1" customFormat="1" ht="115.5" customHeight="1" thickBot="1" x14ac:dyDescent="0.3">
      <c r="A8" s="98">
        <v>2</v>
      </c>
      <c r="B8" s="104" t="s">
        <v>1</v>
      </c>
      <c r="C8" s="100" t="s">
        <v>171</v>
      </c>
      <c r="D8" s="94"/>
      <c r="E8" s="121" t="s">
        <v>191</v>
      </c>
      <c r="F8" s="7">
        <v>597000</v>
      </c>
      <c r="G8" s="78">
        <v>494700</v>
      </c>
      <c r="H8" s="81">
        <v>496886</v>
      </c>
      <c r="I8" s="135">
        <f t="shared" ref="I8:I31" si="0">(F8*90%)</f>
        <v>537300</v>
      </c>
      <c r="J8" s="135"/>
      <c r="K8" s="136"/>
      <c r="L8" s="211"/>
      <c r="M8" s="211"/>
      <c r="N8" s="211"/>
      <c r="O8" s="211"/>
      <c r="P8" s="211"/>
      <c r="Q8" s="211"/>
      <c r="R8" s="211"/>
      <c r="S8" s="211"/>
      <c r="T8" s="212"/>
    </row>
    <row r="9" spans="1:20" s="2" customFormat="1" ht="105.75" customHeight="1" thickBot="1" x14ac:dyDescent="0.3">
      <c r="A9" s="90">
        <v>3</v>
      </c>
      <c r="B9" s="103" t="s">
        <v>2</v>
      </c>
      <c r="C9" s="92" t="s">
        <v>172</v>
      </c>
      <c r="D9" s="89"/>
      <c r="E9" s="115" t="s">
        <v>191</v>
      </c>
      <c r="F9" s="16">
        <v>324000</v>
      </c>
      <c r="G9" s="79">
        <v>371025</v>
      </c>
      <c r="H9" s="82">
        <v>248443</v>
      </c>
      <c r="I9" s="137">
        <f t="shared" si="0"/>
        <v>291600</v>
      </c>
      <c r="J9" s="137"/>
      <c r="K9" s="138"/>
      <c r="L9" s="211"/>
      <c r="M9" s="211"/>
      <c r="N9" s="211"/>
      <c r="O9" s="211"/>
      <c r="P9" s="211"/>
      <c r="Q9" s="211"/>
      <c r="R9" s="211"/>
      <c r="S9" s="211"/>
      <c r="T9" s="212"/>
    </row>
    <row r="10" spans="1:20" s="1" customFormat="1" ht="103.5" customHeight="1" thickBot="1" x14ac:dyDescent="0.3">
      <c r="A10" s="112">
        <v>4</v>
      </c>
      <c r="B10" s="116" t="s">
        <v>42</v>
      </c>
      <c r="C10" s="117" t="s">
        <v>144</v>
      </c>
      <c r="D10" s="118"/>
      <c r="E10" s="121" t="s">
        <v>191</v>
      </c>
      <c r="F10" s="7">
        <v>1650000</v>
      </c>
      <c r="G10" s="78">
        <v>1612450</v>
      </c>
      <c r="H10" s="83">
        <v>1518750</v>
      </c>
      <c r="I10" s="135">
        <f t="shared" si="0"/>
        <v>1485000</v>
      </c>
      <c r="J10" s="135">
        <f>'[1]Table 1'!$J$14+[2]ESTRUCTURAS!$I$13/2</f>
        <v>2371825</v>
      </c>
      <c r="K10" s="136"/>
      <c r="L10" s="211"/>
      <c r="M10" s="211"/>
      <c r="N10" s="211"/>
      <c r="O10" s="211"/>
      <c r="P10" s="211"/>
      <c r="Q10" s="211"/>
      <c r="R10" s="211"/>
      <c r="S10" s="211"/>
      <c r="T10" s="212"/>
    </row>
    <row r="11" spans="1:20" s="2" customFormat="1" ht="114" customHeight="1" thickBot="1" x14ac:dyDescent="0.3">
      <c r="A11" s="114">
        <v>5</v>
      </c>
      <c r="B11" s="113" t="s">
        <v>131</v>
      </c>
      <c r="C11" s="119" t="s">
        <v>132</v>
      </c>
      <c r="D11" s="120"/>
      <c r="E11" s="115" t="s">
        <v>191</v>
      </c>
      <c r="F11" s="16">
        <v>1452000</v>
      </c>
      <c r="G11" s="79">
        <v>1527450</v>
      </c>
      <c r="H11" s="82">
        <v>1239300</v>
      </c>
      <c r="I11" s="137">
        <f t="shared" si="0"/>
        <v>1306800</v>
      </c>
      <c r="J11" s="137">
        <f>[2]ESTRUCTURAS!$I$15+'[1]Table 1'!$J$16/2</f>
        <v>2003025</v>
      </c>
      <c r="K11" s="138"/>
      <c r="L11" s="211"/>
      <c r="M11" s="211"/>
      <c r="N11" s="211"/>
      <c r="O11" s="211"/>
      <c r="P11" s="211"/>
      <c r="Q11" s="211"/>
      <c r="R11" s="211"/>
      <c r="S11" s="211"/>
      <c r="T11" s="212"/>
    </row>
    <row r="12" spans="1:20" s="2" customFormat="1" ht="102.75" customHeight="1" thickBot="1" x14ac:dyDescent="0.3">
      <c r="A12" s="98">
        <v>6</v>
      </c>
      <c r="B12" s="108" t="s">
        <v>133</v>
      </c>
      <c r="C12" s="105" t="s">
        <v>134</v>
      </c>
      <c r="D12" s="95"/>
      <c r="E12" s="121" t="s">
        <v>191</v>
      </c>
      <c r="F12" s="10">
        <v>1128000</v>
      </c>
      <c r="G12" s="78">
        <v>1221960</v>
      </c>
      <c r="H12" s="84">
        <v>929475</v>
      </c>
      <c r="I12" s="139">
        <f t="shared" si="0"/>
        <v>1015200</v>
      </c>
      <c r="J12" s="139"/>
      <c r="K12" s="140">
        <v>945000</v>
      </c>
      <c r="L12" s="211"/>
      <c r="M12" s="211"/>
      <c r="N12" s="211"/>
      <c r="O12" s="211"/>
      <c r="P12" s="211"/>
      <c r="Q12" s="211"/>
      <c r="R12" s="211"/>
      <c r="S12" s="211"/>
      <c r="T12" s="212"/>
    </row>
    <row r="13" spans="1:20" s="2" customFormat="1" ht="110.25" customHeight="1" thickBot="1" x14ac:dyDescent="0.3">
      <c r="A13" s="90">
        <v>7</v>
      </c>
      <c r="B13" s="91" t="s">
        <v>8</v>
      </c>
      <c r="C13" s="92" t="s">
        <v>135</v>
      </c>
      <c r="D13" s="89"/>
      <c r="E13" s="115" t="s">
        <v>191</v>
      </c>
      <c r="F13" s="16">
        <v>5490000</v>
      </c>
      <c r="G13" s="79">
        <v>6517120</v>
      </c>
      <c r="H13" s="82">
        <v>4015575</v>
      </c>
      <c r="I13" s="137">
        <f t="shared" si="0"/>
        <v>4941000</v>
      </c>
      <c r="J13" s="137"/>
      <c r="K13" s="138"/>
      <c r="L13" s="211"/>
      <c r="M13" s="211"/>
      <c r="N13" s="211"/>
      <c r="O13" s="211"/>
      <c r="P13" s="211"/>
      <c r="Q13" s="211"/>
      <c r="R13" s="211"/>
      <c r="S13" s="211"/>
      <c r="T13" s="212"/>
    </row>
    <row r="14" spans="1:20" s="2" customFormat="1" ht="105" customHeight="1" thickBot="1" x14ac:dyDescent="0.3">
      <c r="A14" s="98">
        <v>8</v>
      </c>
      <c r="B14" s="101" t="s">
        <v>114</v>
      </c>
      <c r="C14" s="105" t="s">
        <v>136</v>
      </c>
      <c r="D14" s="95"/>
      <c r="E14" s="121" t="s">
        <v>191</v>
      </c>
      <c r="F14" s="12">
        <v>10768000</v>
      </c>
      <c r="G14" s="78">
        <v>8517960</v>
      </c>
      <c r="H14" s="84">
        <v>11717460</v>
      </c>
      <c r="I14" s="141">
        <f t="shared" si="0"/>
        <v>9691200</v>
      </c>
      <c r="J14" s="141"/>
      <c r="K14" s="142"/>
      <c r="L14" s="211"/>
      <c r="M14" s="211"/>
      <c r="N14" s="211"/>
      <c r="O14" s="211"/>
      <c r="P14" s="211"/>
      <c r="Q14" s="211"/>
      <c r="R14" s="211"/>
      <c r="S14" s="211"/>
      <c r="T14" s="212"/>
    </row>
    <row r="15" spans="1:20" s="2" customFormat="1" ht="105.75" customHeight="1" thickBot="1" x14ac:dyDescent="0.3">
      <c r="A15" s="90">
        <v>9</v>
      </c>
      <c r="B15" s="91" t="s">
        <v>113</v>
      </c>
      <c r="C15" s="92" t="s">
        <v>139</v>
      </c>
      <c r="D15" s="89"/>
      <c r="E15" s="115" t="s">
        <v>191</v>
      </c>
      <c r="F15" s="18">
        <v>1575300</v>
      </c>
      <c r="G15" s="79">
        <v>1854600</v>
      </c>
      <c r="H15" s="80">
        <v>1166400</v>
      </c>
      <c r="I15" s="143">
        <f t="shared" si="0"/>
        <v>1417770</v>
      </c>
      <c r="J15" s="143"/>
      <c r="K15" s="144"/>
      <c r="L15" s="211"/>
      <c r="M15" s="211"/>
      <c r="N15" s="211"/>
      <c r="O15" s="211"/>
      <c r="P15" s="211"/>
      <c r="Q15" s="211"/>
      <c r="R15" s="211"/>
      <c r="S15" s="211"/>
      <c r="T15" s="212"/>
    </row>
    <row r="16" spans="1:20" s="2" customFormat="1" ht="99.75" customHeight="1" thickBot="1" x14ac:dyDescent="0.3">
      <c r="A16" s="98">
        <v>10</v>
      </c>
      <c r="B16" s="101" t="s">
        <v>137</v>
      </c>
      <c r="C16" s="105" t="s">
        <v>138</v>
      </c>
      <c r="D16" s="95"/>
      <c r="E16" s="121" t="s">
        <v>191</v>
      </c>
      <c r="F16" s="12">
        <v>1878000</v>
      </c>
      <c r="G16" s="78">
        <v>2068645</v>
      </c>
      <c r="H16" s="84">
        <v>1518750</v>
      </c>
      <c r="I16" s="141">
        <f t="shared" si="0"/>
        <v>1690200</v>
      </c>
      <c r="J16" s="141"/>
      <c r="K16" s="142"/>
      <c r="L16" s="211"/>
      <c r="M16" s="211"/>
      <c r="N16" s="211"/>
      <c r="O16" s="211"/>
      <c r="P16" s="211"/>
      <c r="Q16" s="211"/>
      <c r="R16" s="211"/>
      <c r="S16" s="211"/>
      <c r="T16" s="212"/>
    </row>
    <row r="17" spans="1:20" s="2" customFormat="1" ht="118.5" customHeight="1" thickBot="1" x14ac:dyDescent="0.3">
      <c r="A17" s="90">
        <v>11</v>
      </c>
      <c r="B17" s="103" t="s">
        <v>9</v>
      </c>
      <c r="C17" s="92" t="s">
        <v>10</v>
      </c>
      <c r="D17" s="96"/>
      <c r="E17" s="115" t="s">
        <v>191</v>
      </c>
      <c r="F17" s="16">
        <v>1136000</v>
      </c>
      <c r="G17" s="79">
        <v>653000</v>
      </c>
      <c r="H17" s="85">
        <v>1458000</v>
      </c>
      <c r="I17" s="137">
        <f t="shared" si="0"/>
        <v>1022400</v>
      </c>
      <c r="J17" s="137"/>
      <c r="K17" s="138"/>
      <c r="L17" s="211"/>
      <c r="M17" s="211"/>
      <c r="N17" s="211"/>
      <c r="O17" s="211"/>
      <c r="P17" s="211"/>
      <c r="Q17" s="211"/>
      <c r="R17" s="211"/>
      <c r="S17" s="211"/>
      <c r="T17" s="212"/>
    </row>
    <row r="18" spans="1:20" s="2" customFormat="1" ht="109.5" customHeight="1" thickBot="1" x14ac:dyDescent="0.3">
      <c r="A18" s="98">
        <v>12</v>
      </c>
      <c r="B18" s="107" t="s">
        <v>115</v>
      </c>
      <c r="C18" s="105" t="s">
        <v>140</v>
      </c>
      <c r="D18" s="106"/>
      <c r="E18" s="121" t="s">
        <v>191</v>
      </c>
      <c r="F18" s="10">
        <v>1436100</v>
      </c>
      <c r="G18" s="78">
        <v>1252050</v>
      </c>
      <c r="H18" s="84">
        <v>1458000</v>
      </c>
      <c r="I18" s="139">
        <f t="shared" si="0"/>
        <v>1292490</v>
      </c>
      <c r="J18" s="139"/>
      <c r="K18" s="140"/>
      <c r="L18" s="211"/>
      <c r="M18" s="211"/>
      <c r="N18" s="211"/>
      <c r="O18" s="211"/>
      <c r="P18" s="211"/>
      <c r="Q18" s="211"/>
      <c r="R18" s="211"/>
      <c r="S18" s="211"/>
      <c r="T18" s="212"/>
    </row>
    <row r="19" spans="1:20" s="2" customFormat="1" ht="117.75" customHeight="1" thickBot="1" x14ac:dyDescent="0.3">
      <c r="A19" s="90">
        <v>13</v>
      </c>
      <c r="B19" s="91" t="s">
        <v>11</v>
      </c>
      <c r="C19" s="92" t="s">
        <v>12</v>
      </c>
      <c r="D19" s="96"/>
      <c r="E19" s="115" t="s">
        <v>191</v>
      </c>
      <c r="F19" s="16">
        <v>1494000</v>
      </c>
      <c r="G19" s="79">
        <v>1503072</v>
      </c>
      <c r="H19" s="82">
        <v>1336500</v>
      </c>
      <c r="I19" s="137">
        <f t="shared" si="0"/>
        <v>1344600</v>
      </c>
      <c r="J19" s="137"/>
      <c r="K19" s="138"/>
      <c r="L19" s="211"/>
      <c r="M19" s="211"/>
      <c r="N19" s="211"/>
      <c r="O19" s="211"/>
      <c r="P19" s="211"/>
      <c r="Q19" s="211"/>
      <c r="R19" s="211"/>
      <c r="S19" s="211"/>
      <c r="T19" s="212"/>
    </row>
    <row r="20" spans="1:20" s="2" customFormat="1" ht="112.5" customHeight="1" thickBot="1" x14ac:dyDescent="0.3">
      <c r="A20" s="98">
        <v>14</v>
      </c>
      <c r="B20" s="101" t="s">
        <v>13</v>
      </c>
      <c r="C20" s="105" t="s">
        <v>14</v>
      </c>
      <c r="D20" s="106"/>
      <c r="E20" s="121" t="s">
        <v>191</v>
      </c>
      <c r="F20" s="12">
        <v>866450</v>
      </c>
      <c r="G20" s="78">
        <v>400520</v>
      </c>
      <c r="H20" s="86">
        <v>1199205</v>
      </c>
      <c r="I20" s="141">
        <f t="shared" si="0"/>
        <v>779805</v>
      </c>
      <c r="J20" s="141">
        <f>'[1]Table 1'!$I$34+[2]ESTRUCTURAS!$I$33/2</f>
        <v>1000122.5</v>
      </c>
      <c r="K20" s="142"/>
      <c r="L20" s="211"/>
      <c r="M20" s="211"/>
      <c r="N20" s="211"/>
      <c r="O20" s="211"/>
      <c r="P20" s="211"/>
      <c r="Q20" s="211"/>
      <c r="R20" s="211"/>
      <c r="S20" s="211"/>
      <c r="T20" s="212"/>
    </row>
    <row r="21" spans="1:20" s="2" customFormat="1" ht="116.25" customHeight="1" thickBot="1" x14ac:dyDescent="0.3">
      <c r="A21" s="90">
        <v>15</v>
      </c>
      <c r="B21" s="91" t="s">
        <v>36</v>
      </c>
      <c r="C21" s="92" t="s">
        <v>46</v>
      </c>
      <c r="D21" s="89"/>
      <c r="E21" s="115" t="s">
        <v>191</v>
      </c>
      <c r="F21" s="18">
        <v>387360</v>
      </c>
      <c r="G21" s="79">
        <v>342720</v>
      </c>
      <c r="H21" s="82">
        <v>388800</v>
      </c>
      <c r="I21" s="143">
        <f t="shared" si="0"/>
        <v>348624</v>
      </c>
      <c r="J21" s="143">
        <f>'[1]Table 1'!$I$36+[2]ESTRUCTURAS!$I$35/2</f>
        <v>558720</v>
      </c>
      <c r="K21" s="144"/>
      <c r="L21" s="211"/>
      <c r="M21" s="211"/>
      <c r="N21" s="211"/>
      <c r="O21" s="211"/>
      <c r="P21" s="211"/>
      <c r="Q21" s="211"/>
      <c r="R21" s="211"/>
      <c r="S21" s="211"/>
      <c r="T21" s="212"/>
    </row>
    <row r="22" spans="1:20" s="1" customFormat="1" ht="115.5" customHeight="1" thickBot="1" x14ac:dyDescent="0.3">
      <c r="A22" s="98">
        <v>16</v>
      </c>
      <c r="B22" s="99" t="s">
        <v>37</v>
      </c>
      <c r="C22" s="100" t="s">
        <v>47</v>
      </c>
      <c r="D22" s="94"/>
      <c r="E22" s="121" t="s">
        <v>191</v>
      </c>
      <c r="F22" s="14">
        <v>303240</v>
      </c>
      <c r="G22" s="78">
        <v>228480</v>
      </c>
      <c r="H22" s="87">
        <v>340200</v>
      </c>
      <c r="I22" s="145">
        <f t="shared" si="0"/>
        <v>272916</v>
      </c>
      <c r="J22" s="145">
        <f>'[1]Table 1'!$I$38+[2]ESTRUCTURAS!$I$37/2</f>
        <v>398580</v>
      </c>
      <c r="K22" s="146">
        <v>180000</v>
      </c>
      <c r="L22" s="211"/>
      <c r="M22" s="211"/>
      <c r="N22" s="211"/>
      <c r="O22" s="211"/>
      <c r="P22" s="211"/>
      <c r="Q22" s="211"/>
      <c r="R22" s="211"/>
      <c r="S22" s="211"/>
      <c r="T22" s="212"/>
    </row>
    <row r="23" spans="1:20" s="2" customFormat="1" ht="119.25" customHeight="1" thickBot="1" x14ac:dyDescent="0.3">
      <c r="A23" s="90">
        <v>17</v>
      </c>
      <c r="B23" s="91" t="s">
        <v>141</v>
      </c>
      <c r="C23" s="92" t="s">
        <v>45</v>
      </c>
      <c r="D23" s="89"/>
      <c r="E23" s="115" t="s">
        <v>191</v>
      </c>
      <c r="F23" s="23">
        <f>'[1]Table 1'!$G$40+[2]ESTRUCTURAS!$M$39/2</f>
        <v>102690</v>
      </c>
      <c r="G23" s="79">
        <v>76500</v>
      </c>
      <c r="H23" s="82">
        <v>52380</v>
      </c>
      <c r="I23" s="123">
        <f t="shared" si="0"/>
        <v>92421</v>
      </c>
      <c r="J23" s="123">
        <f>'[1]Table 1'!$I$40+[2]ESTRUCTURAS!$I$39/2</f>
        <v>102690</v>
      </c>
      <c r="K23" s="147"/>
      <c r="L23" s="211"/>
      <c r="M23" s="211"/>
      <c r="N23" s="211"/>
      <c r="O23" s="211"/>
      <c r="P23" s="211"/>
      <c r="Q23" s="211"/>
      <c r="R23" s="211"/>
      <c r="S23" s="211"/>
      <c r="T23" s="212"/>
    </row>
    <row r="24" spans="1:20" s="1" customFormat="1" ht="117.75" customHeight="1" thickBot="1" x14ac:dyDescent="0.3">
      <c r="A24" s="98">
        <v>18</v>
      </c>
      <c r="B24" s="104" t="s">
        <v>40</v>
      </c>
      <c r="C24" s="100" t="s">
        <v>143</v>
      </c>
      <c r="D24" s="94"/>
      <c r="E24" s="121" t="s">
        <v>191</v>
      </c>
      <c r="F24" s="12">
        <f>'[1]Table 1'!$G$42+[2]ESTRUCTURAS!$M$41/2</f>
        <v>1117318</v>
      </c>
      <c r="G24" s="78">
        <v>1014043</v>
      </c>
      <c r="H24" s="87">
        <v>206550</v>
      </c>
      <c r="I24" s="148">
        <f t="shared" si="0"/>
        <v>1005586.2000000001</v>
      </c>
      <c r="J24" s="148"/>
      <c r="K24" s="149"/>
      <c r="L24" s="211"/>
      <c r="M24" s="211"/>
      <c r="N24" s="211"/>
      <c r="O24" s="211"/>
      <c r="P24" s="211"/>
      <c r="Q24" s="211"/>
      <c r="R24" s="211"/>
      <c r="S24" s="211"/>
      <c r="T24" s="212"/>
    </row>
    <row r="25" spans="1:20" s="2" customFormat="1" ht="114.75" customHeight="1" thickBot="1" x14ac:dyDescent="0.3">
      <c r="A25" s="90">
        <v>19</v>
      </c>
      <c r="B25" s="103" t="s">
        <v>142</v>
      </c>
      <c r="C25" s="97" t="s">
        <v>145</v>
      </c>
      <c r="D25" s="89"/>
      <c r="E25" s="115" t="s">
        <v>191</v>
      </c>
      <c r="F25" s="191">
        <f>'[1]Table 1'!$G$44+[2]ESTRUCTURAS!$M$43/2</f>
        <v>1218268</v>
      </c>
      <c r="G25" s="79">
        <v>1103518</v>
      </c>
      <c r="H25" s="82">
        <v>206550</v>
      </c>
      <c r="I25" s="143">
        <f t="shared" si="0"/>
        <v>1096441.2</v>
      </c>
      <c r="J25" s="143">
        <f>'[1]Table 1'!$I$44+[2]ESTRUCTURAS!$I$43/2</f>
        <v>1218268</v>
      </c>
      <c r="K25" s="144"/>
      <c r="L25" s="211"/>
      <c r="M25" s="211"/>
      <c r="N25" s="211"/>
      <c r="O25" s="211"/>
      <c r="P25" s="211"/>
      <c r="Q25" s="211"/>
      <c r="R25" s="211"/>
      <c r="S25" s="211"/>
      <c r="T25" s="212"/>
    </row>
    <row r="26" spans="1:20" s="1" customFormat="1" ht="121.5" customHeight="1" thickBot="1" x14ac:dyDescent="0.3">
      <c r="A26" s="98">
        <v>20</v>
      </c>
      <c r="B26" s="99" t="s">
        <v>155</v>
      </c>
      <c r="C26" s="100" t="s">
        <v>158</v>
      </c>
      <c r="D26" s="94"/>
      <c r="E26" s="121" t="s">
        <v>191</v>
      </c>
      <c r="F26" s="9">
        <f>527510</f>
        <v>527510</v>
      </c>
      <c r="G26" s="78">
        <v>366520</v>
      </c>
      <c r="H26" s="83">
        <v>619650</v>
      </c>
      <c r="I26" s="148">
        <f t="shared" si="0"/>
        <v>474759</v>
      </c>
      <c r="J26" s="148"/>
      <c r="K26" s="149"/>
      <c r="L26" s="211"/>
      <c r="M26" s="211"/>
      <c r="N26" s="211"/>
      <c r="O26" s="211"/>
      <c r="P26" s="211"/>
      <c r="Q26" s="211"/>
      <c r="R26" s="211"/>
      <c r="S26" s="211"/>
      <c r="T26" s="212"/>
    </row>
    <row r="27" spans="1:20" s="2" customFormat="1" ht="120.75" customHeight="1" thickBot="1" x14ac:dyDescent="0.3">
      <c r="A27" s="90">
        <v>21</v>
      </c>
      <c r="B27" s="91" t="s">
        <v>43</v>
      </c>
      <c r="C27" s="92" t="s">
        <v>44</v>
      </c>
      <c r="D27" s="89"/>
      <c r="E27" s="115" t="s">
        <v>191</v>
      </c>
      <c r="F27" s="18">
        <v>2209000</v>
      </c>
      <c r="G27" s="79">
        <v>2313658</v>
      </c>
      <c r="H27" s="82">
        <v>1895400</v>
      </c>
      <c r="I27" s="143">
        <f t="shared" si="0"/>
        <v>1988100</v>
      </c>
      <c r="J27" s="143"/>
      <c r="K27" s="150"/>
      <c r="L27" s="211"/>
      <c r="M27" s="211"/>
      <c r="N27" s="211"/>
      <c r="O27" s="211"/>
      <c r="P27" s="211"/>
      <c r="Q27" s="211"/>
      <c r="R27" s="211"/>
      <c r="S27" s="211"/>
      <c r="T27" s="212"/>
    </row>
    <row r="28" spans="1:20" s="2" customFormat="1" ht="112.5" customHeight="1" thickBot="1" x14ac:dyDescent="0.3">
      <c r="A28" s="98">
        <v>22</v>
      </c>
      <c r="B28" s="101" t="s">
        <v>146</v>
      </c>
      <c r="C28" s="102" t="s">
        <v>147</v>
      </c>
      <c r="D28" s="95"/>
      <c r="E28" s="121" t="s">
        <v>191</v>
      </c>
      <c r="F28" s="12">
        <v>2260000</v>
      </c>
      <c r="G28" s="78">
        <v>2415658</v>
      </c>
      <c r="H28" s="84">
        <v>1895400</v>
      </c>
      <c r="I28" s="141">
        <f t="shared" si="0"/>
        <v>2034000</v>
      </c>
      <c r="J28" s="141"/>
      <c r="K28" s="151"/>
      <c r="L28" s="211"/>
      <c r="M28" s="211"/>
      <c r="N28" s="211"/>
      <c r="O28" s="211"/>
      <c r="P28" s="211"/>
      <c r="Q28" s="211"/>
      <c r="R28" s="211"/>
      <c r="S28" s="211"/>
      <c r="T28" s="212"/>
    </row>
    <row r="29" spans="1:20" s="2" customFormat="1" ht="120" customHeight="1" thickBot="1" x14ac:dyDescent="0.3">
      <c r="A29" s="90">
        <v>23</v>
      </c>
      <c r="B29" s="91" t="s">
        <v>188</v>
      </c>
      <c r="C29" s="97" t="s">
        <v>148</v>
      </c>
      <c r="D29" s="89"/>
      <c r="E29" s="115" t="s">
        <v>191</v>
      </c>
      <c r="F29" s="18">
        <v>128560000</v>
      </c>
      <c r="G29" s="79">
        <v>48308</v>
      </c>
      <c r="H29" s="82">
        <v>126968</v>
      </c>
      <c r="I29" s="18">
        <f t="shared" si="0"/>
        <v>115704000</v>
      </c>
      <c r="J29" s="18">
        <f>[2]ESTRUCTURAS!$I$51+'[1]Table 1'!$J$52/2</f>
        <v>151122</v>
      </c>
      <c r="K29" s="24"/>
      <c r="L29" s="211"/>
      <c r="M29" s="211"/>
      <c r="N29" s="211"/>
      <c r="O29" s="211"/>
      <c r="P29" s="211"/>
      <c r="Q29" s="211"/>
      <c r="R29" s="211"/>
      <c r="S29" s="211"/>
      <c r="T29" s="212"/>
    </row>
    <row r="30" spans="1:20" s="1" customFormat="1" ht="120.75" customHeight="1" thickBot="1" x14ac:dyDescent="0.3">
      <c r="A30" s="98">
        <v>24</v>
      </c>
      <c r="B30" s="99" t="s">
        <v>41</v>
      </c>
      <c r="C30" s="100" t="s">
        <v>156</v>
      </c>
      <c r="D30" s="94"/>
      <c r="E30" s="121" t="s">
        <v>191</v>
      </c>
      <c r="F30" s="9">
        <v>3152000</v>
      </c>
      <c r="G30" s="78">
        <v>2555440</v>
      </c>
      <c r="H30" s="87">
        <v>3749950</v>
      </c>
      <c r="I30" s="9">
        <f t="shared" si="0"/>
        <v>2836800</v>
      </c>
      <c r="J30" s="9"/>
      <c r="K30" s="15"/>
      <c r="L30" s="211"/>
      <c r="M30" s="211"/>
      <c r="N30" s="211"/>
      <c r="O30" s="211"/>
      <c r="P30" s="211"/>
      <c r="Q30" s="211"/>
      <c r="R30" s="211"/>
      <c r="S30" s="211"/>
      <c r="T30" s="212"/>
    </row>
    <row r="31" spans="1:20" s="2" customFormat="1" ht="103.5" customHeight="1" x14ac:dyDescent="0.25">
      <c r="A31" s="90">
        <v>25</v>
      </c>
      <c r="B31" s="91" t="s">
        <v>149</v>
      </c>
      <c r="C31" s="92" t="s">
        <v>157</v>
      </c>
      <c r="D31" s="89"/>
      <c r="E31" s="115" t="s">
        <v>191</v>
      </c>
      <c r="F31" s="18">
        <v>3938000</v>
      </c>
      <c r="G31" s="79">
        <v>3095275</v>
      </c>
      <c r="H31" s="82">
        <v>4780000</v>
      </c>
      <c r="I31" s="18">
        <f t="shared" si="0"/>
        <v>3544200</v>
      </c>
      <c r="J31" s="18"/>
      <c r="K31" s="24"/>
      <c r="L31" s="213"/>
      <c r="M31" s="213"/>
      <c r="N31" s="213"/>
      <c r="O31" s="213"/>
      <c r="P31" s="213"/>
      <c r="Q31" s="213"/>
      <c r="R31" s="213"/>
      <c r="S31" s="213"/>
      <c r="T31" s="214"/>
    </row>
    <row r="32" spans="1:20" x14ac:dyDescent="0.25">
      <c r="A32" s="208"/>
      <c r="B32" s="208"/>
      <c r="C32" s="208"/>
      <c r="D32" s="208"/>
      <c r="E32" s="208"/>
      <c r="F32" s="208"/>
      <c r="G32" s="208"/>
      <c r="H32" s="208"/>
      <c r="I32" s="208"/>
      <c r="J32" s="208"/>
      <c r="K32" s="208"/>
    </row>
    <row r="33" spans="1:11" x14ac:dyDescent="0.25">
      <c r="A33" s="208"/>
      <c r="B33" s="208"/>
      <c r="C33" s="208"/>
      <c r="D33" s="208"/>
      <c r="E33" s="208"/>
      <c r="F33" s="208"/>
      <c r="G33" s="208"/>
      <c r="H33" s="208"/>
      <c r="I33" s="208"/>
      <c r="J33" s="208"/>
      <c r="K33" s="208"/>
    </row>
    <row r="34" spans="1:11" x14ac:dyDescent="0.25">
      <c r="A34" s="208"/>
      <c r="B34" s="208"/>
      <c r="C34" s="208"/>
      <c r="D34" s="208"/>
      <c r="E34" s="208"/>
      <c r="F34" s="208"/>
      <c r="G34" s="208"/>
      <c r="H34" s="208"/>
      <c r="I34" s="208"/>
      <c r="J34" s="208"/>
      <c r="K34" s="208"/>
    </row>
    <row r="35" spans="1:11" x14ac:dyDescent="0.25">
      <c r="A35" s="208"/>
      <c r="B35" s="208"/>
      <c r="C35" s="208"/>
      <c r="D35" s="208"/>
      <c r="E35" s="208"/>
      <c r="F35" s="208"/>
      <c r="G35" s="208"/>
      <c r="H35" s="208"/>
      <c r="I35" s="208"/>
      <c r="J35" s="208"/>
      <c r="K35" s="208"/>
    </row>
    <row r="36" spans="1:11" x14ac:dyDescent="0.25">
      <c r="A36" s="208"/>
      <c r="B36" s="208"/>
      <c r="C36" s="208"/>
      <c r="D36" s="208"/>
      <c r="E36" s="208"/>
      <c r="F36" s="208"/>
      <c r="G36" s="208"/>
      <c r="H36" s="208"/>
      <c r="I36" s="208"/>
      <c r="J36" s="208"/>
      <c r="K36" s="208"/>
    </row>
    <row r="37" spans="1:11" x14ac:dyDescent="0.25">
      <c r="A37" s="208"/>
      <c r="B37" s="208"/>
      <c r="C37" s="208"/>
      <c r="D37" s="208"/>
      <c r="E37" s="208"/>
      <c r="F37" s="208"/>
      <c r="G37" s="208"/>
      <c r="H37" s="208"/>
      <c r="I37" s="208"/>
      <c r="J37" s="208"/>
      <c r="K37" s="208"/>
    </row>
    <row r="38" spans="1:11" x14ac:dyDescent="0.25">
      <c r="A38" s="208"/>
      <c r="B38" s="208"/>
      <c r="C38" s="208"/>
      <c r="D38" s="208"/>
      <c r="E38" s="208"/>
      <c r="F38" s="208"/>
      <c r="G38" s="208"/>
      <c r="H38" s="208"/>
      <c r="I38" s="208"/>
      <c r="J38" s="208"/>
      <c r="K38" s="208"/>
    </row>
    <row r="39" spans="1:11" x14ac:dyDescent="0.25">
      <c r="A39" s="208"/>
      <c r="B39" s="208"/>
      <c r="C39" s="208"/>
      <c r="D39" s="208"/>
      <c r="E39" s="208"/>
      <c r="F39" s="208"/>
      <c r="G39" s="208"/>
      <c r="H39" s="208"/>
      <c r="I39" s="208"/>
      <c r="J39" s="208"/>
      <c r="K39" s="208"/>
    </row>
    <row r="40" spans="1:11" x14ac:dyDescent="0.25">
      <c r="A40" s="208"/>
      <c r="B40" s="208"/>
      <c r="C40" s="208"/>
      <c r="D40" s="208"/>
      <c r="E40" s="208"/>
      <c r="F40" s="208"/>
      <c r="G40" s="208"/>
      <c r="H40" s="208"/>
      <c r="I40" s="208"/>
      <c r="J40" s="208"/>
      <c r="K40" s="208"/>
    </row>
    <row r="41" spans="1:11" x14ac:dyDescent="0.25">
      <c r="A41" s="208"/>
      <c r="B41" s="208"/>
      <c r="C41" s="208"/>
      <c r="D41" s="208"/>
      <c r="E41" s="208"/>
      <c r="F41" s="208"/>
      <c r="G41" s="208"/>
      <c r="H41" s="208"/>
      <c r="I41" s="208"/>
      <c r="J41" s="208"/>
      <c r="K41" s="208"/>
    </row>
    <row r="42" spans="1:11" x14ac:dyDescent="0.25">
      <c r="A42" s="208"/>
      <c r="B42" s="208"/>
      <c r="C42" s="208"/>
      <c r="D42" s="208"/>
      <c r="E42" s="208"/>
      <c r="F42" s="208"/>
      <c r="G42" s="208"/>
      <c r="H42" s="208"/>
      <c r="I42" s="208"/>
      <c r="J42" s="208"/>
      <c r="K42" s="208"/>
    </row>
    <row r="43" spans="1:11" x14ac:dyDescent="0.25">
      <c r="A43" s="208"/>
      <c r="B43" s="208"/>
      <c r="C43" s="208"/>
      <c r="D43" s="208"/>
      <c r="E43" s="208"/>
      <c r="F43" s="208"/>
      <c r="G43" s="208"/>
      <c r="H43" s="208"/>
      <c r="I43" s="208"/>
      <c r="J43" s="208"/>
      <c r="K43" s="208"/>
    </row>
    <row r="44" spans="1:11" x14ac:dyDescent="0.25">
      <c r="A44" s="208"/>
      <c r="B44" s="208"/>
      <c r="C44" s="208"/>
      <c r="D44" s="208"/>
      <c r="E44" s="208"/>
      <c r="F44" s="208"/>
      <c r="G44" s="208"/>
      <c r="H44" s="208"/>
      <c r="I44" s="208"/>
      <c r="J44" s="208"/>
      <c r="K44" s="208"/>
    </row>
    <row r="45" spans="1:11" x14ac:dyDescent="0.25">
      <c r="A45" s="208"/>
      <c r="B45" s="208"/>
      <c r="C45" s="208"/>
      <c r="D45" s="208"/>
      <c r="E45" s="208"/>
      <c r="F45" s="208"/>
      <c r="G45" s="208"/>
      <c r="H45" s="208"/>
      <c r="I45" s="208"/>
      <c r="J45" s="208"/>
      <c r="K45" s="208"/>
    </row>
    <row r="46" spans="1:11" x14ac:dyDescent="0.25">
      <c r="A46" s="208"/>
      <c r="B46" s="208"/>
      <c r="C46" s="208"/>
      <c r="D46" s="208"/>
      <c r="E46" s="208"/>
      <c r="F46" s="208"/>
      <c r="G46" s="208"/>
      <c r="H46" s="208"/>
      <c r="I46" s="208"/>
      <c r="J46" s="208"/>
      <c r="K46" s="208"/>
    </row>
    <row r="47" spans="1:11" x14ac:dyDescent="0.25">
      <c r="A47" s="208"/>
      <c r="B47" s="208"/>
      <c r="C47" s="208"/>
      <c r="D47" s="208"/>
      <c r="E47" s="208"/>
      <c r="F47" s="208"/>
      <c r="G47" s="208"/>
      <c r="H47" s="208"/>
      <c r="I47" s="208"/>
      <c r="J47" s="208"/>
      <c r="K47" s="208"/>
    </row>
    <row r="48" spans="1:11" x14ac:dyDescent="0.25">
      <c r="A48" s="208"/>
      <c r="B48" s="208"/>
      <c r="C48" s="208"/>
      <c r="D48" s="208"/>
      <c r="E48" s="208"/>
      <c r="F48" s="208"/>
      <c r="G48" s="208"/>
      <c r="H48" s="208"/>
      <c r="I48" s="208"/>
      <c r="J48" s="208"/>
      <c r="K48" s="208"/>
    </row>
    <row r="49" spans="1:11" x14ac:dyDescent="0.25">
      <c r="A49" s="208"/>
      <c r="B49" s="208"/>
      <c r="C49" s="208"/>
      <c r="D49" s="208"/>
      <c r="E49" s="208"/>
      <c r="F49" s="208"/>
      <c r="G49" s="208"/>
      <c r="H49" s="208"/>
      <c r="I49" s="208"/>
      <c r="J49" s="208"/>
      <c r="K49" s="208"/>
    </row>
  </sheetData>
  <mergeCells count="5">
    <mergeCell ref="A32:K49"/>
    <mergeCell ref="L1:T31"/>
    <mergeCell ref="E5:K5"/>
    <mergeCell ref="A4:K4"/>
    <mergeCell ref="A1:K3"/>
  </mergeCells>
  <pageMargins left="0.7" right="0.7" top="0.75" bottom="0.75" header="0.3" footer="0.3"/>
  <pageSetup scale="18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8"/>
  <sheetViews>
    <sheetView topLeftCell="A4" zoomScale="62" zoomScaleNormal="62" workbookViewId="0">
      <selection activeCell="D8" sqref="D8"/>
    </sheetView>
  </sheetViews>
  <sheetFormatPr baseColWidth="10" defaultRowHeight="15" x14ac:dyDescent="0.25"/>
  <cols>
    <col min="1" max="1" width="5.140625" style="5" customWidth="1"/>
    <col min="2" max="2" width="31.85546875" customWidth="1"/>
    <col min="3" max="3" width="32.42578125" customWidth="1"/>
    <col min="4" max="4" width="31.7109375" customWidth="1"/>
    <col min="5" max="5" width="26.85546875" customWidth="1"/>
    <col min="6" max="6" width="24.140625" customWidth="1"/>
    <col min="7" max="7" width="25.42578125" customWidth="1"/>
    <col min="8" max="8" width="27.28515625" customWidth="1"/>
  </cols>
  <sheetData>
    <row r="1" spans="1:18" ht="15.75" customHeight="1" x14ac:dyDescent="0.25">
      <c r="A1" s="258" t="s">
        <v>159</v>
      </c>
      <c r="B1" s="259"/>
      <c r="C1" s="259"/>
      <c r="D1" s="259"/>
      <c r="E1" s="259"/>
      <c r="F1" s="259"/>
      <c r="G1" s="259"/>
      <c r="H1" s="260"/>
      <c r="I1" s="208"/>
      <c r="J1" s="208"/>
      <c r="K1" s="208"/>
      <c r="L1" s="208"/>
      <c r="M1" s="208"/>
      <c r="N1" s="208"/>
      <c r="O1" s="208"/>
      <c r="P1" s="208"/>
      <c r="Q1" s="208"/>
      <c r="R1" s="208"/>
    </row>
    <row r="2" spans="1:18" ht="15.75" customHeight="1" x14ac:dyDescent="0.25">
      <c r="A2" s="261"/>
      <c r="B2" s="262"/>
      <c r="C2" s="262"/>
      <c r="D2" s="262"/>
      <c r="E2" s="262"/>
      <c r="F2" s="262"/>
      <c r="G2" s="262"/>
      <c r="H2" s="263"/>
      <c r="I2" s="208"/>
      <c r="J2" s="208"/>
      <c r="K2" s="208"/>
      <c r="L2" s="208"/>
      <c r="M2" s="208"/>
      <c r="N2" s="208"/>
      <c r="O2" s="208"/>
      <c r="P2" s="208"/>
      <c r="Q2" s="208"/>
      <c r="R2" s="208"/>
    </row>
    <row r="3" spans="1:18" ht="15.75" customHeight="1" thickBot="1" x14ac:dyDescent="0.3">
      <c r="A3" s="264"/>
      <c r="B3" s="265"/>
      <c r="C3" s="265"/>
      <c r="D3" s="265"/>
      <c r="E3" s="265"/>
      <c r="F3" s="265"/>
      <c r="G3" s="265"/>
      <c r="H3" s="266"/>
      <c r="I3" s="208"/>
      <c r="J3" s="208"/>
      <c r="K3" s="208"/>
      <c r="L3" s="208"/>
      <c r="M3" s="208"/>
      <c r="N3" s="208"/>
      <c r="O3" s="208"/>
      <c r="P3" s="208"/>
      <c r="Q3" s="208"/>
      <c r="R3" s="208"/>
    </row>
    <row r="4" spans="1:18" ht="15.75" thickBot="1" x14ac:dyDescent="0.3">
      <c r="A4" s="255"/>
      <c r="B4" s="256"/>
      <c r="C4" s="256"/>
      <c r="D4" s="256"/>
      <c r="E4" s="256"/>
      <c r="F4" s="256"/>
      <c r="G4" s="256"/>
      <c r="H4" s="257"/>
      <c r="I4" s="208"/>
      <c r="J4" s="208"/>
      <c r="K4" s="208"/>
      <c r="L4" s="208"/>
      <c r="M4" s="208"/>
      <c r="N4" s="208"/>
      <c r="O4" s="208"/>
      <c r="P4" s="208"/>
      <c r="Q4" s="208"/>
      <c r="R4" s="208"/>
    </row>
    <row r="5" spans="1:18" ht="61.5" customHeight="1" thickBot="1" x14ac:dyDescent="0.3">
      <c r="A5" s="44" t="s">
        <v>160</v>
      </c>
      <c r="B5" s="45" t="s">
        <v>6</v>
      </c>
      <c r="C5" s="46" t="s">
        <v>0</v>
      </c>
      <c r="D5" s="267" t="s">
        <v>183</v>
      </c>
      <c r="E5" s="268"/>
      <c r="F5" s="268"/>
      <c r="G5" s="268"/>
      <c r="H5" s="269"/>
      <c r="I5" s="208"/>
      <c r="J5" s="208"/>
      <c r="K5" s="208"/>
      <c r="L5" s="208"/>
      <c r="M5" s="208"/>
      <c r="N5" s="208"/>
      <c r="O5" s="208"/>
      <c r="P5" s="208"/>
      <c r="Q5" s="208"/>
      <c r="R5" s="208"/>
    </row>
    <row r="6" spans="1:18" ht="31.5" customHeight="1" thickBot="1" x14ac:dyDescent="0.3">
      <c r="A6" s="29"/>
      <c r="B6" s="30"/>
      <c r="C6" s="47"/>
      <c r="D6" s="43" t="s">
        <v>180</v>
      </c>
      <c r="E6" s="31" t="s">
        <v>174</v>
      </c>
      <c r="F6" s="31" t="s">
        <v>175</v>
      </c>
      <c r="G6" s="31" t="s">
        <v>176</v>
      </c>
      <c r="H6" s="32" t="s">
        <v>178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</row>
    <row r="7" spans="1:18" ht="37.5" customHeight="1" x14ac:dyDescent="0.25">
      <c r="A7" s="230">
        <v>1</v>
      </c>
      <c r="B7" s="270" t="s">
        <v>3</v>
      </c>
      <c r="C7" s="234" t="s">
        <v>24</v>
      </c>
      <c r="D7" s="60" t="s">
        <v>179</v>
      </c>
      <c r="E7" s="123">
        <f>(69000+8000)/2</f>
        <v>38500</v>
      </c>
      <c r="F7" s="152">
        <f t="shared" ref="F7:F42" si="0">(E7*90%)</f>
        <v>34650</v>
      </c>
      <c r="G7" s="33"/>
      <c r="H7" s="34"/>
      <c r="I7" s="208"/>
      <c r="J7" s="208"/>
      <c r="K7" s="208"/>
      <c r="L7" s="208"/>
      <c r="M7" s="208"/>
      <c r="N7" s="208"/>
      <c r="O7" s="208"/>
      <c r="P7" s="208"/>
      <c r="Q7" s="208"/>
      <c r="R7" s="208"/>
    </row>
    <row r="8" spans="1:18" ht="45.75" customHeight="1" thickBot="1" x14ac:dyDescent="0.3">
      <c r="A8" s="231"/>
      <c r="B8" s="271"/>
      <c r="C8" s="235"/>
      <c r="D8" s="122" t="s">
        <v>192</v>
      </c>
      <c r="E8" s="124">
        <f>(62100+8000)/2</f>
        <v>35050</v>
      </c>
      <c r="F8" s="153">
        <f t="shared" si="0"/>
        <v>31545</v>
      </c>
      <c r="G8" s="27"/>
      <c r="H8" s="28"/>
      <c r="I8" s="208"/>
      <c r="J8" s="208"/>
      <c r="K8" s="208"/>
      <c r="L8" s="208"/>
      <c r="M8" s="208"/>
      <c r="N8" s="208"/>
      <c r="O8" s="208"/>
      <c r="P8" s="208"/>
      <c r="Q8" s="208"/>
      <c r="R8" s="208"/>
    </row>
    <row r="9" spans="1:18" s="4" customFormat="1" ht="34.5" customHeight="1" x14ac:dyDescent="0.25">
      <c r="A9" s="236">
        <v>2</v>
      </c>
      <c r="B9" s="248" t="s">
        <v>19</v>
      </c>
      <c r="C9" s="240" t="s">
        <v>27</v>
      </c>
      <c r="D9" s="61" t="s">
        <v>179</v>
      </c>
      <c r="E9" s="125">
        <f>(25000+69000)/2</f>
        <v>47000</v>
      </c>
      <c r="F9" s="131">
        <f t="shared" si="0"/>
        <v>42300</v>
      </c>
      <c r="G9" s="10"/>
      <c r="H9" s="11"/>
      <c r="I9" s="208"/>
      <c r="J9" s="208"/>
      <c r="K9" s="208"/>
      <c r="L9" s="208"/>
      <c r="M9" s="208"/>
      <c r="N9" s="208"/>
      <c r="O9" s="208"/>
      <c r="P9" s="208"/>
      <c r="Q9" s="208"/>
      <c r="R9" s="208"/>
    </row>
    <row r="10" spans="1:18" s="198" customFormat="1" ht="44.25" customHeight="1" thickBot="1" x14ac:dyDescent="0.3">
      <c r="A10" s="237"/>
      <c r="B10" s="249"/>
      <c r="C10" s="241"/>
      <c r="D10" s="193" t="s">
        <v>192</v>
      </c>
      <c r="E10" s="194">
        <f>(62100+15000)/2</f>
        <v>38550</v>
      </c>
      <c r="F10" s="195">
        <f t="shared" si="0"/>
        <v>34695</v>
      </c>
      <c r="G10" s="196"/>
      <c r="H10" s="197"/>
      <c r="I10" s="208"/>
      <c r="J10" s="208"/>
      <c r="K10" s="208"/>
      <c r="L10" s="208"/>
      <c r="M10" s="208"/>
      <c r="N10" s="208"/>
      <c r="O10" s="208"/>
      <c r="P10" s="208"/>
      <c r="Q10" s="208"/>
      <c r="R10" s="208"/>
    </row>
    <row r="11" spans="1:18" ht="45.75" customHeight="1" x14ac:dyDescent="0.25">
      <c r="A11" s="230">
        <v>3</v>
      </c>
      <c r="B11" s="272" t="s">
        <v>119</v>
      </c>
      <c r="C11" s="234" t="s">
        <v>152</v>
      </c>
      <c r="D11" s="60" t="s">
        <v>179</v>
      </c>
      <c r="E11" s="126">
        <f>(39000+82800)/2</f>
        <v>60900</v>
      </c>
      <c r="F11" s="129">
        <f t="shared" si="0"/>
        <v>54810</v>
      </c>
      <c r="G11" s="16"/>
      <c r="H11" s="17"/>
      <c r="I11" s="208"/>
      <c r="J11" s="208"/>
      <c r="K11" s="208"/>
      <c r="L11" s="208"/>
      <c r="M11" s="208"/>
      <c r="N11" s="208"/>
      <c r="O11" s="208"/>
      <c r="P11" s="208"/>
      <c r="Q11" s="208"/>
      <c r="R11" s="208"/>
    </row>
    <row r="12" spans="1:18" ht="45.75" customHeight="1" thickBot="1" x14ac:dyDescent="0.3">
      <c r="A12" s="231"/>
      <c r="B12" s="273"/>
      <c r="C12" s="235"/>
      <c r="D12" s="122" t="s">
        <v>192</v>
      </c>
      <c r="E12" s="127">
        <f>(39000+74520)/2</f>
        <v>56760</v>
      </c>
      <c r="F12" s="130">
        <f t="shared" si="0"/>
        <v>51084</v>
      </c>
      <c r="G12" s="19"/>
      <c r="H12" s="20"/>
      <c r="I12" s="208"/>
      <c r="J12" s="208"/>
      <c r="K12" s="208"/>
      <c r="L12" s="208"/>
      <c r="M12" s="208"/>
      <c r="N12" s="208"/>
      <c r="O12" s="208"/>
      <c r="P12" s="208"/>
      <c r="Q12" s="208"/>
      <c r="R12" s="208"/>
    </row>
    <row r="13" spans="1:18" ht="45.75" customHeight="1" x14ac:dyDescent="0.25">
      <c r="A13" s="242">
        <v>4</v>
      </c>
      <c r="B13" s="274" t="s">
        <v>120</v>
      </c>
      <c r="C13" s="246" t="s">
        <v>153</v>
      </c>
      <c r="D13" s="61" t="s">
        <v>179</v>
      </c>
      <c r="E13" s="128">
        <f>(39000+55200)/2</f>
        <v>47100</v>
      </c>
      <c r="F13" s="128">
        <f t="shared" si="0"/>
        <v>42390</v>
      </c>
      <c r="G13" s="7"/>
      <c r="H13" s="8"/>
      <c r="I13" s="208"/>
      <c r="J13" s="208"/>
      <c r="K13" s="208"/>
      <c r="L13" s="208"/>
      <c r="M13" s="208"/>
      <c r="N13" s="208"/>
      <c r="O13" s="208"/>
      <c r="P13" s="208"/>
      <c r="Q13" s="208"/>
      <c r="R13" s="208"/>
    </row>
    <row r="14" spans="1:18" s="198" customFormat="1" ht="45" customHeight="1" thickBot="1" x14ac:dyDescent="0.3">
      <c r="A14" s="243"/>
      <c r="B14" s="275"/>
      <c r="C14" s="247"/>
      <c r="D14" s="193" t="s">
        <v>192</v>
      </c>
      <c r="E14" s="195">
        <f>(39000+49680)/2</f>
        <v>44340</v>
      </c>
      <c r="F14" s="195">
        <f t="shared" si="0"/>
        <v>39906</v>
      </c>
      <c r="G14" s="196"/>
      <c r="H14" s="197"/>
      <c r="I14" s="208"/>
      <c r="J14" s="208"/>
      <c r="K14" s="208"/>
      <c r="L14" s="208"/>
      <c r="M14" s="208"/>
      <c r="N14" s="208"/>
      <c r="O14" s="208"/>
      <c r="P14" s="208"/>
      <c r="Q14" s="208"/>
      <c r="R14" s="208"/>
    </row>
    <row r="15" spans="1:18" ht="41.25" customHeight="1" x14ac:dyDescent="0.25">
      <c r="A15" s="230">
        <v>5</v>
      </c>
      <c r="B15" s="232" t="s">
        <v>5</v>
      </c>
      <c r="C15" s="234" t="s">
        <v>116</v>
      </c>
      <c r="D15" s="60" t="s">
        <v>179</v>
      </c>
      <c r="E15" s="129">
        <f>(15160+28600)/2</f>
        <v>21880</v>
      </c>
      <c r="F15" s="16">
        <f t="shared" si="0"/>
        <v>19692</v>
      </c>
      <c r="G15" s="16"/>
      <c r="H15" s="17"/>
      <c r="I15" s="208"/>
      <c r="J15" s="208"/>
      <c r="K15" s="208"/>
      <c r="L15" s="208"/>
      <c r="M15" s="208"/>
      <c r="N15" s="208"/>
      <c r="O15" s="208"/>
      <c r="P15" s="208"/>
      <c r="Q15" s="208"/>
      <c r="R15" s="208"/>
    </row>
    <row r="16" spans="1:18" ht="42.75" customHeight="1" thickBot="1" x14ac:dyDescent="0.3">
      <c r="A16" s="231"/>
      <c r="B16" s="233"/>
      <c r="C16" s="235"/>
      <c r="D16" s="122" t="s">
        <v>192</v>
      </c>
      <c r="E16" s="130">
        <f>(28600+13662)/2</f>
        <v>21131</v>
      </c>
      <c r="F16" s="19">
        <f t="shared" si="0"/>
        <v>19017.900000000001</v>
      </c>
      <c r="G16" s="19"/>
      <c r="H16" s="20"/>
      <c r="I16" s="208"/>
      <c r="J16" s="208"/>
      <c r="K16" s="208"/>
      <c r="L16" s="208"/>
      <c r="M16" s="208"/>
      <c r="N16" s="208"/>
      <c r="O16" s="208"/>
      <c r="P16" s="208"/>
      <c r="Q16" s="208"/>
      <c r="R16" s="208"/>
    </row>
    <row r="17" spans="1:18" s="4" customFormat="1" ht="45.75" customHeight="1" x14ac:dyDescent="0.25">
      <c r="A17" s="236">
        <v>6</v>
      </c>
      <c r="B17" s="252" t="s">
        <v>118</v>
      </c>
      <c r="C17" s="240" t="s">
        <v>150</v>
      </c>
      <c r="D17" s="61" t="s">
        <v>179</v>
      </c>
      <c r="E17" s="131">
        <v>22442</v>
      </c>
      <c r="F17" s="10">
        <f t="shared" si="0"/>
        <v>20197.8</v>
      </c>
      <c r="G17" s="192"/>
      <c r="H17" s="11"/>
      <c r="I17" s="208"/>
      <c r="J17" s="208"/>
      <c r="K17" s="208"/>
      <c r="L17" s="208"/>
      <c r="M17" s="208"/>
      <c r="N17" s="208"/>
      <c r="O17" s="208"/>
      <c r="P17" s="208"/>
      <c r="Q17" s="208"/>
      <c r="R17" s="208"/>
    </row>
    <row r="18" spans="1:18" s="198" customFormat="1" ht="45" customHeight="1" thickBot="1" x14ac:dyDescent="0.3">
      <c r="A18" s="237"/>
      <c r="B18" s="253"/>
      <c r="C18" s="241"/>
      <c r="D18" s="193" t="s">
        <v>192</v>
      </c>
      <c r="E18" s="199">
        <v>18180</v>
      </c>
      <c r="F18" s="196">
        <f t="shared" si="0"/>
        <v>16362</v>
      </c>
      <c r="G18" s="200"/>
      <c r="H18" s="197"/>
      <c r="I18" s="208"/>
      <c r="J18" s="208"/>
      <c r="K18" s="208"/>
      <c r="L18" s="208"/>
      <c r="M18" s="208"/>
      <c r="N18" s="208"/>
      <c r="O18" s="208"/>
      <c r="P18" s="208"/>
      <c r="Q18" s="208"/>
      <c r="R18" s="208"/>
    </row>
    <row r="19" spans="1:18" ht="36" customHeight="1" x14ac:dyDescent="0.25">
      <c r="A19" s="242">
        <v>7</v>
      </c>
      <c r="B19" s="250" t="s">
        <v>117</v>
      </c>
      <c r="C19" s="234" t="s">
        <v>151</v>
      </c>
      <c r="D19" s="60" t="s">
        <v>179</v>
      </c>
      <c r="E19" s="129">
        <f>(82800+20170)/2</f>
        <v>51485</v>
      </c>
      <c r="F19" s="16">
        <f t="shared" si="0"/>
        <v>46336.5</v>
      </c>
      <c r="G19" s="16"/>
      <c r="H19" s="17"/>
      <c r="I19" s="208"/>
      <c r="J19" s="208"/>
      <c r="K19" s="208"/>
      <c r="L19" s="208"/>
      <c r="M19" s="208"/>
      <c r="N19" s="208"/>
      <c r="O19" s="208"/>
      <c r="P19" s="208"/>
      <c r="Q19" s="208"/>
      <c r="R19" s="208"/>
    </row>
    <row r="20" spans="1:18" ht="37.5" customHeight="1" thickBot="1" x14ac:dyDescent="0.3">
      <c r="A20" s="243"/>
      <c r="B20" s="251"/>
      <c r="C20" s="235"/>
      <c r="D20" s="122" t="s">
        <v>192</v>
      </c>
      <c r="E20" s="130">
        <f>(74520+20170)/2</f>
        <v>47345</v>
      </c>
      <c r="F20" s="19">
        <f t="shared" si="0"/>
        <v>42610.5</v>
      </c>
      <c r="G20" s="19"/>
      <c r="H20" s="20"/>
      <c r="I20" s="208"/>
      <c r="J20" s="208"/>
      <c r="K20" s="208"/>
      <c r="L20" s="208"/>
      <c r="M20" s="208"/>
      <c r="N20" s="208"/>
      <c r="O20" s="208"/>
      <c r="P20" s="208"/>
      <c r="Q20" s="208"/>
      <c r="R20" s="208"/>
    </row>
    <row r="21" spans="1:18" ht="45" customHeight="1" x14ac:dyDescent="0.25">
      <c r="A21" s="242">
        <v>8</v>
      </c>
      <c r="B21" s="244" t="s">
        <v>20</v>
      </c>
      <c r="C21" s="246" t="s">
        <v>18</v>
      </c>
      <c r="D21" s="59" t="s">
        <v>179</v>
      </c>
      <c r="E21" s="128">
        <v>35000</v>
      </c>
      <c r="F21" s="7">
        <f t="shared" si="0"/>
        <v>31500</v>
      </c>
      <c r="G21" s="7"/>
      <c r="H21" s="8"/>
      <c r="I21" s="208"/>
      <c r="J21" s="208"/>
      <c r="K21" s="208"/>
      <c r="L21" s="208"/>
      <c r="M21" s="208"/>
      <c r="N21" s="208"/>
      <c r="O21" s="208"/>
      <c r="P21" s="208"/>
      <c r="Q21" s="208"/>
      <c r="R21" s="208"/>
    </row>
    <row r="22" spans="1:18" s="198" customFormat="1" ht="45" customHeight="1" thickBot="1" x14ac:dyDescent="0.3">
      <c r="A22" s="243"/>
      <c r="B22" s="245"/>
      <c r="C22" s="247"/>
      <c r="D22" s="193" t="s">
        <v>192</v>
      </c>
      <c r="E22" s="195">
        <f>(37260+19000)/2</f>
        <v>28130</v>
      </c>
      <c r="F22" s="196">
        <f t="shared" si="0"/>
        <v>25317</v>
      </c>
      <c r="G22" s="196"/>
      <c r="H22" s="197"/>
      <c r="I22" s="208"/>
      <c r="J22" s="208"/>
      <c r="K22" s="208"/>
      <c r="L22" s="208"/>
      <c r="M22" s="208"/>
      <c r="N22" s="208"/>
      <c r="O22" s="208"/>
      <c r="P22" s="208"/>
      <c r="Q22" s="208"/>
      <c r="R22" s="208"/>
    </row>
    <row r="23" spans="1:18" ht="44.25" customHeight="1" x14ac:dyDescent="0.25">
      <c r="A23" s="230">
        <v>9</v>
      </c>
      <c r="B23" s="250" t="s">
        <v>121</v>
      </c>
      <c r="C23" s="234" t="s">
        <v>122</v>
      </c>
      <c r="D23" s="60" t="s">
        <v>179</v>
      </c>
      <c r="E23" s="129">
        <f>(110400+107250)/2</f>
        <v>108825</v>
      </c>
      <c r="F23" s="16">
        <f t="shared" si="0"/>
        <v>97942.5</v>
      </c>
      <c r="G23" s="16"/>
      <c r="H23" s="17"/>
      <c r="I23" s="208"/>
      <c r="J23" s="208"/>
      <c r="K23" s="208"/>
      <c r="L23" s="208"/>
      <c r="M23" s="208"/>
      <c r="N23" s="208"/>
      <c r="O23" s="208"/>
      <c r="P23" s="208"/>
      <c r="Q23" s="208"/>
      <c r="R23" s="208"/>
    </row>
    <row r="24" spans="1:18" ht="52.5" customHeight="1" thickBot="1" x14ac:dyDescent="0.3">
      <c r="A24" s="231"/>
      <c r="B24" s="251"/>
      <c r="C24" s="235"/>
      <c r="D24" s="122" t="s">
        <v>192</v>
      </c>
      <c r="E24" s="130">
        <f>(107250+99360)/2</f>
        <v>103305</v>
      </c>
      <c r="F24" s="19">
        <f t="shared" si="0"/>
        <v>92974.5</v>
      </c>
      <c r="G24" s="19"/>
      <c r="H24" s="20"/>
      <c r="I24" s="208"/>
      <c r="J24" s="208"/>
      <c r="K24" s="208"/>
      <c r="L24" s="208"/>
      <c r="M24" s="208"/>
      <c r="N24" s="208"/>
      <c r="O24" s="208"/>
      <c r="P24" s="208"/>
      <c r="Q24" s="208"/>
      <c r="R24" s="208"/>
    </row>
    <row r="25" spans="1:18" s="4" customFormat="1" ht="38.25" customHeight="1" x14ac:dyDescent="0.25">
      <c r="A25" s="236">
        <v>10</v>
      </c>
      <c r="B25" s="248" t="s">
        <v>15</v>
      </c>
      <c r="C25" s="240" t="s">
        <v>23</v>
      </c>
      <c r="D25" s="61" t="s">
        <v>179</v>
      </c>
      <c r="E25" s="131">
        <f>(78000+82800)/2</f>
        <v>80400</v>
      </c>
      <c r="F25" s="10">
        <f t="shared" si="0"/>
        <v>72360</v>
      </c>
      <c r="G25" s="10"/>
      <c r="H25" s="11"/>
      <c r="I25" s="208"/>
      <c r="J25" s="208"/>
      <c r="K25" s="208"/>
      <c r="L25" s="208"/>
      <c r="M25" s="208"/>
      <c r="N25" s="208"/>
      <c r="O25" s="208"/>
      <c r="P25" s="208"/>
      <c r="Q25" s="208"/>
      <c r="R25" s="208"/>
    </row>
    <row r="26" spans="1:18" s="198" customFormat="1" ht="44.25" customHeight="1" thickBot="1" x14ac:dyDescent="0.3">
      <c r="A26" s="237"/>
      <c r="B26" s="249"/>
      <c r="C26" s="241"/>
      <c r="D26" s="193" t="s">
        <v>192</v>
      </c>
      <c r="E26" s="195">
        <f>(45000+74520)/2</f>
        <v>59760</v>
      </c>
      <c r="F26" s="196">
        <f t="shared" si="0"/>
        <v>53784</v>
      </c>
      <c r="G26" s="196"/>
      <c r="H26" s="197"/>
      <c r="I26" s="208"/>
      <c r="J26" s="208"/>
      <c r="K26" s="208"/>
      <c r="L26" s="208"/>
      <c r="M26" s="208"/>
      <c r="N26" s="208"/>
      <c r="O26" s="208"/>
      <c r="P26" s="208"/>
      <c r="Q26" s="208"/>
      <c r="R26" s="208"/>
    </row>
    <row r="27" spans="1:18" ht="45.75" customHeight="1" x14ac:dyDescent="0.25">
      <c r="A27" s="242">
        <v>11</v>
      </c>
      <c r="B27" s="232" t="s">
        <v>16</v>
      </c>
      <c r="C27" s="234" t="s">
        <v>22</v>
      </c>
      <c r="D27" s="60" t="s">
        <v>179</v>
      </c>
      <c r="E27" s="129">
        <f>(621000+242350)/2</f>
        <v>431675</v>
      </c>
      <c r="F27" s="16">
        <f t="shared" si="0"/>
        <v>388507.5</v>
      </c>
      <c r="G27" s="16"/>
      <c r="H27" s="17"/>
      <c r="I27" s="208"/>
      <c r="J27" s="208"/>
      <c r="K27" s="208"/>
      <c r="L27" s="208"/>
      <c r="M27" s="208"/>
      <c r="N27" s="208"/>
      <c r="O27" s="208"/>
      <c r="P27" s="208"/>
      <c r="Q27" s="208"/>
      <c r="R27" s="208"/>
    </row>
    <row r="28" spans="1:18" ht="45.75" customHeight="1" thickBot="1" x14ac:dyDescent="0.3">
      <c r="A28" s="243"/>
      <c r="B28" s="233"/>
      <c r="C28" s="235"/>
      <c r="D28" s="122" t="s">
        <v>192</v>
      </c>
      <c r="E28" s="130">
        <f>E27*90%</f>
        <v>388507.5</v>
      </c>
      <c r="F28" s="19">
        <f t="shared" si="0"/>
        <v>349656.75</v>
      </c>
      <c r="G28" s="19"/>
      <c r="H28" s="20"/>
      <c r="I28" s="208"/>
      <c r="J28" s="208"/>
      <c r="K28" s="208"/>
      <c r="L28" s="208"/>
      <c r="M28" s="208"/>
      <c r="N28" s="208"/>
      <c r="O28" s="208"/>
      <c r="P28" s="208"/>
      <c r="Q28" s="208"/>
      <c r="R28" s="208"/>
    </row>
    <row r="29" spans="1:18" ht="45" customHeight="1" x14ac:dyDescent="0.25">
      <c r="A29" s="242">
        <v>12</v>
      </c>
      <c r="B29" s="244" t="s">
        <v>17</v>
      </c>
      <c r="C29" s="246" t="s">
        <v>21</v>
      </c>
      <c r="D29" s="61" t="s">
        <v>179</v>
      </c>
      <c r="E29" s="131">
        <f>E27</f>
        <v>431675</v>
      </c>
      <c r="F29" s="10">
        <f t="shared" si="0"/>
        <v>388507.5</v>
      </c>
      <c r="G29" s="10"/>
      <c r="H29" s="11"/>
      <c r="I29" s="208"/>
      <c r="J29" s="208"/>
      <c r="K29" s="208"/>
      <c r="L29" s="208"/>
      <c r="M29" s="208"/>
      <c r="N29" s="208"/>
      <c r="O29" s="208"/>
      <c r="P29" s="208"/>
      <c r="Q29" s="208"/>
      <c r="R29" s="208"/>
    </row>
    <row r="30" spans="1:18" s="198" customFormat="1" ht="45" customHeight="1" thickBot="1" x14ac:dyDescent="0.3">
      <c r="A30" s="243"/>
      <c r="B30" s="245"/>
      <c r="C30" s="247"/>
      <c r="D30" s="193" t="s">
        <v>192</v>
      </c>
      <c r="E30" s="195">
        <f>E28</f>
        <v>388507.5</v>
      </c>
      <c r="F30" s="196">
        <f t="shared" si="0"/>
        <v>349656.75</v>
      </c>
      <c r="G30" s="196"/>
      <c r="H30" s="197"/>
      <c r="I30" s="208"/>
      <c r="J30" s="208"/>
      <c r="K30" s="208"/>
      <c r="L30" s="208"/>
      <c r="M30" s="208"/>
      <c r="N30" s="208"/>
      <c r="O30" s="208"/>
      <c r="P30" s="208"/>
      <c r="Q30" s="208"/>
      <c r="R30" s="208"/>
    </row>
    <row r="31" spans="1:18" ht="42.75" customHeight="1" x14ac:dyDescent="0.25">
      <c r="A31" s="230">
        <v>13</v>
      </c>
      <c r="B31" s="232" t="s">
        <v>32</v>
      </c>
      <c r="C31" s="234" t="s">
        <v>31</v>
      </c>
      <c r="D31" s="60" t="s">
        <v>179</v>
      </c>
      <c r="E31" s="129">
        <f>(36500+165600)/2</f>
        <v>101050</v>
      </c>
      <c r="F31" s="16">
        <f t="shared" si="0"/>
        <v>90945</v>
      </c>
      <c r="G31" s="16"/>
      <c r="H31" s="17"/>
      <c r="I31" s="208"/>
      <c r="J31" s="208"/>
      <c r="K31" s="208"/>
      <c r="L31" s="208"/>
      <c r="M31" s="208"/>
      <c r="N31" s="208"/>
      <c r="O31" s="208"/>
      <c r="P31" s="208"/>
      <c r="Q31" s="208"/>
      <c r="R31" s="208"/>
    </row>
    <row r="32" spans="1:18" ht="45" customHeight="1" thickBot="1" x14ac:dyDescent="0.3">
      <c r="A32" s="231"/>
      <c r="B32" s="233"/>
      <c r="C32" s="235"/>
      <c r="D32" s="122" t="s">
        <v>192</v>
      </c>
      <c r="E32" s="130">
        <f>(77000+149040)/2</f>
        <v>113020</v>
      </c>
      <c r="F32" s="19">
        <f t="shared" si="0"/>
        <v>101718</v>
      </c>
      <c r="G32" s="19"/>
      <c r="H32" s="20"/>
      <c r="I32" s="208"/>
      <c r="J32" s="208"/>
      <c r="K32" s="208"/>
      <c r="L32" s="208"/>
      <c r="M32" s="208"/>
      <c r="N32" s="208"/>
      <c r="O32" s="208"/>
      <c r="P32" s="208"/>
      <c r="Q32" s="208"/>
      <c r="R32" s="208"/>
    </row>
    <row r="33" spans="1:18" s="4" customFormat="1" ht="45" customHeight="1" x14ac:dyDescent="0.25">
      <c r="A33" s="236">
        <v>14</v>
      </c>
      <c r="B33" s="248" t="s">
        <v>25</v>
      </c>
      <c r="C33" s="240" t="s">
        <v>26</v>
      </c>
      <c r="D33" s="61" t="s">
        <v>179</v>
      </c>
      <c r="E33" s="131">
        <f>(127050+179400)/2</f>
        <v>153225</v>
      </c>
      <c r="F33" s="10">
        <f t="shared" si="0"/>
        <v>137902.5</v>
      </c>
      <c r="G33" s="10"/>
      <c r="H33" s="11"/>
      <c r="I33" s="208"/>
      <c r="J33" s="208"/>
      <c r="K33" s="208"/>
      <c r="L33" s="208"/>
      <c r="M33" s="208"/>
      <c r="N33" s="208"/>
      <c r="O33" s="208"/>
      <c r="P33" s="208"/>
      <c r="Q33" s="208"/>
      <c r="R33" s="208"/>
    </row>
    <row r="34" spans="1:18" s="198" customFormat="1" ht="49.5" customHeight="1" thickBot="1" x14ac:dyDescent="0.3">
      <c r="A34" s="237"/>
      <c r="B34" s="249"/>
      <c r="C34" s="241"/>
      <c r="D34" s="193" t="s">
        <v>192</v>
      </c>
      <c r="E34" s="195">
        <f>(254100+161460)/2</f>
        <v>207780</v>
      </c>
      <c r="F34" s="196">
        <f t="shared" si="0"/>
        <v>187002</v>
      </c>
      <c r="G34" s="196"/>
      <c r="H34" s="197"/>
      <c r="I34" s="208"/>
      <c r="J34" s="208"/>
      <c r="K34" s="208"/>
      <c r="L34" s="208"/>
      <c r="M34" s="208"/>
      <c r="N34" s="208"/>
      <c r="O34" s="208"/>
      <c r="P34" s="208"/>
      <c r="Q34" s="208"/>
      <c r="R34" s="208"/>
    </row>
    <row r="35" spans="1:18" ht="39" customHeight="1" x14ac:dyDescent="0.25">
      <c r="A35" s="230">
        <v>15</v>
      </c>
      <c r="B35" s="232" t="s">
        <v>28</v>
      </c>
      <c r="C35" s="234" t="s">
        <v>29</v>
      </c>
      <c r="D35" s="60" t="s">
        <v>179</v>
      </c>
      <c r="E35" s="129">
        <f>(56102+131100)/2</f>
        <v>93601</v>
      </c>
      <c r="F35" s="16">
        <f t="shared" si="0"/>
        <v>84240.900000000009</v>
      </c>
      <c r="G35" s="16"/>
      <c r="H35" s="17"/>
      <c r="I35" s="208"/>
      <c r="J35" s="208"/>
      <c r="K35" s="208"/>
      <c r="L35" s="208"/>
      <c r="M35" s="208"/>
      <c r="N35" s="208"/>
      <c r="O35" s="208"/>
      <c r="P35" s="208"/>
      <c r="Q35" s="208"/>
      <c r="R35" s="208"/>
    </row>
    <row r="36" spans="1:18" ht="43.5" customHeight="1" thickBot="1" x14ac:dyDescent="0.3">
      <c r="A36" s="231"/>
      <c r="B36" s="233"/>
      <c r="C36" s="235"/>
      <c r="D36" s="122" t="s">
        <v>192</v>
      </c>
      <c r="E36" s="130">
        <f>(112000+117990)/2</f>
        <v>114995</v>
      </c>
      <c r="F36" s="19">
        <f t="shared" si="0"/>
        <v>103495.5</v>
      </c>
      <c r="G36" s="19"/>
      <c r="H36" s="20"/>
      <c r="I36" s="208"/>
      <c r="J36" s="208"/>
      <c r="K36" s="208"/>
      <c r="L36" s="208"/>
      <c r="M36" s="208"/>
      <c r="N36" s="208"/>
      <c r="O36" s="208"/>
      <c r="P36" s="208"/>
      <c r="Q36" s="208"/>
      <c r="R36" s="208"/>
    </row>
    <row r="37" spans="1:18" ht="39.75" customHeight="1" x14ac:dyDescent="0.25">
      <c r="A37" s="242">
        <v>16</v>
      </c>
      <c r="B37" s="244" t="s">
        <v>34</v>
      </c>
      <c r="C37" s="246" t="s">
        <v>35</v>
      </c>
      <c r="D37" s="61" t="s">
        <v>179</v>
      </c>
      <c r="E37" s="132">
        <f>(483000+49140)/2</f>
        <v>266070</v>
      </c>
      <c r="F37" s="12">
        <f t="shared" si="0"/>
        <v>239463</v>
      </c>
      <c r="G37" s="12"/>
      <c r="H37" s="13"/>
      <c r="I37" s="208"/>
      <c r="J37" s="208"/>
      <c r="K37" s="208"/>
      <c r="L37" s="208"/>
      <c r="M37" s="208"/>
      <c r="N37" s="208"/>
      <c r="O37" s="208"/>
      <c r="P37" s="208"/>
      <c r="Q37" s="208"/>
      <c r="R37" s="208"/>
    </row>
    <row r="38" spans="1:18" s="198" customFormat="1" ht="42.75" customHeight="1" thickBot="1" x14ac:dyDescent="0.3">
      <c r="A38" s="243"/>
      <c r="B38" s="245"/>
      <c r="C38" s="247"/>
      <c r="D38" s="193" t="s">
        <v>192</v>
      </c>
      <c r="E38" s="201">
        <f>(92000+434700)/2</f>
        <v>263350</v>
      </c>
      <c r="F38" s="202">
        <f t="shared" si="0"/>
        <v>237015</v>
      </c>
      <c r="G38" s="202"/>
      <c r="H38" s="203"/>
      <c r="I38" s="208"/>
      <c r="J38" s="208"/>
      <c r="K38" s="208"/>
      <c r="L38" s="208"/>
      <c r="M38" s="208"/>
      <c r="N38" s="208"/>
      <c r="O38" s="208"/>
      <c r="P38" s="208"/>
      <c r="Q38" s="208"/>
      <c r="R38" s="208"/>
    </row>
    <row r="39" spans="1:18" ht="45.75" customHeight="1" x14ac:dyDescent="0.25">
      <c r="A39" s="230">
        <v>17</v>
      </c>
      <c r="B39" s="232" t="s">
        <v>30</v>
      </c>
      <c r="C39" s="234" t="s">
        <v>33</v>
      </c>
      <c r="D39" s="60" t="s">
        <v>179</v>
      </c>
      <c r="E39" s="133">
        <f>(316169+372600)/2</f>
        <v>344384.5</v>
      </c>
      <c r="F39" s="18">
        <f t="shared" si="0"/>
        <v>309946.05</v>
      </c>
      <c r="G39" s="18"/>
      <c r="H39" s="22"/>
      <c r="I39" s="208"/>
      <c r="J39" s="208"/>
      <c r="K39" s="208"/>
      <c r="L39" s="208"/>
      <c r="M39" s="208"/>
      <c r="N39" s="208"/>
      <c r="O39" s="208"/>
      <c r="P39" s="208"/>
      <c r="Q39" s="208"/>
      <c r="R39" s="208"/>
    </row>
    <row r="40" spans="1:18" ht="45.75" customHeight="1" thickBot="1" x14ac:dyDescent="0.3">
      <c r="A40" s="231"/>
      <c r="B40" s="233"/>
      <c r="C40" s="235"/>
      <c r="D40" s="122" t="s">
        <v>192</v>
      </c>
      <c r="E40" s="134">
        <f>(632338+335340)/2</f>
        <v>483839</v>
      </c>
      <c r="F40" s="21">
        <f t="shared" si="0"/>
        <v>435455.10000000003</v>
      </c>
      <c r="G40" s="21"/>
      <c r="H40" s="35"/>
      <c r="I40" s="208"/>
      <c r="J40" s="208"/>
      <c r="K40" s="208"/>
      <c r="L40" s="208"/>
      <c r="M40" s="208"/>
      <c r="N40" s="208"/>
      <c r="O40" s="208"/>
      <c r="P40" s="208"/>
      <c r="Q40" s="208"/>
      <c r="R40" s="208"/>
    </row>
    <row r="41" spans="1:18" ht="45.75" customHeight="1" x14ac:dyDescent="0.25">
      <c r="A41" s="236">
        <v>18</v>
      </c>
      <c r="B41" s="238" t="s">
        <v>38</v>
      </c>
      <c r="C41" s="240" t="s">
        <v>39</v>
      </c>
      <c r="D41" s="61" t="s">
        <v>179</v>
      </c>
      <c r="E41" s="132">
        <f>(96000+45000)/2</f>
        <v>70500</v>
      </c>
      <c r="F41" s="12">
        <f t="shared" si="0"/>
        <v>63450</v>
      </c>
      <c r="G41" s="12"/>
      <c r="H41" s="13"/>
      <c r="I41" s="208"/>
      <c r="J41" s="208"/>
      <c r="K41" s="208"/>
      <c r="L41" s="208"/>
      <c r="M41" s="208"/>
      <c r="N41" s="208"/>
      <c r="O41" s="208"/>
      <c r="P41" s="208"/>
      <c r="Q41" s="208"/>
      <c r="R41" s="208"/>
    </row>
    <row r="42" spans="1:18" s="198" customFormat="1" ht="39" customHeight="1" thickBot="1" x14ac:dyDescent="0.3">
      <c r="A42" s="237"/>
      <c r="B42" s="239"/>
      <c r="C42" s="241"/>
      <c r="D42" s="193" t="s">
        <v>192</v>
      </c>
      <c r="E42" s="201">
        <f>(96000+56000)/2</f>
        <v>76000</v>
      </c>
      <c r="F42" s="202">
        <f t="shared" si="0"/>
        <v>68400</v>
      </c>
      <c r="G42" s="202" t="s">
        <v>189</v>
      </c>
      <c r="H42" s="203"/>
      <c r="I42" s="208"/>
      <c r="J42" s="208"/>
      <c r="K42" s="208"/>
      <c r="L42" s="208"/>
      <c r="M42" s="208"/>
      <c r="N42" s="208"/>
      <c r="O42" s="208"/>
      <c r="P42" s="208"/>
      <c r="Q42" s="208"/>
      <c r="R42" s="208"/>
    </row>
    <row r="43" spans="1:18" x14ac:dyDescent="0.25">
      <c r="A43" s="254"/>
      <c r="B43" s="254"/>
      <c r="C43" s="254"/>
      <c r="D43" s="254"/>
      <c r="E43" s="254"/>
      <c r="F43" s="254"/>
      <c r="G43" s="254"/>
      <c r="H43" s="254"/>
      <c r="I43" s="254"/>
      <c r="J43" s="254"/>
      <c r="K43" s="254"/>
      <c r="L43" s="254"/>
      <c r="M43" s="254"/>
      <c r="N43" s="254"/>
      <c r="O43" s="254"/>
      <c r="P43" s="254"/>
      <c r="Q43" s="254"/>
      <c r="R43" s="254"/>
    </row>
    <row r="44" spans="1:18" x14ac:dyDescent="0.25">
      <c r="A44" s="254"/>
      <c r="B44" s="254"/>
      <c r="C44" s="254"/>
      <c r="D44" s="254"/>
      <c r="E44" s="254"/>
      <c r="F44" s="254"/>
      <c r="G44" s="254"/>
      <c r="H44" s="254"/>
      <c r="I44" s="254"/>
      <c r="J44" s="254"/>
      <c r="K44" s="254"/>
      <c r="L44" s="254"/>
      <c r="M44" s="254"/>
      <c r="N44" s="254"/>
      <c r="O44" s="254"/>
      <c r="P44" s="254"/>
      <c r="Q44" s="254"/>
      <c r="R44" s="254"/>
    </row>
    <row r="45" spans="1:18" x14ac:dyDescent="0.25">
      <c r="A45" s="254"/>
      <c r="B45" s="254"/>
      <c r="C45" s="254"/>
      <c r="D45" s="254"/>
      <c r="E45" s="254"/>
      <c r="F45" s="254"/>
      <c r="G45" s="254"/>
      <c r="H45" s="254"/>
      <c r="I45" s="254"/>
      <c r="J45" s="254"/>
      <c r="K45" s="254"/>
      <c r="L45" s="254"/>
      <c r="M45" s="254"/>
      <c r="N45" s="254"/>
      <c r="O45" s="254"/>
      <c r="P45" s="254"/>
      <c r="Q45" s="254"/>
      <c r="R45" s="254"/>
    </row>
    <row r="46" spans="1:18" x14ac:dyDescent="0.25">
      <c r="A46" s="254"/>
      <c r="B46" s="254"/>
      <c r="C46" s="254"/>
      <c r="D46" s="254"/>
      <c r="E46" s="254"/>
      <c r="F46" s="254"/>
      <c r="G46" s="254"/>
      <c r="H46" s="254"/>
      <c r="I46" s="254"/>
      <c r="J46" s="254"/>
      <c r="K46" s="254"/>
      <c r="L46" s="254"/>
      <c r="M46" s="254"/>
      <c r="N46" s="254"/>
      <c r="O46" s="254"/>
      <c r="P46" s="254"/>
      <c r="Q46" s="254"/>
      <c r="R46" s="254"/>
    </row>
    <row r="47" spans="1:18" x14ac:dyDescent="0.25">
      <c r="A47" s="254"/>
      <c r="B47" s="254"/>
      <c r="C47" s="254"/>
      <c r="D47" s="254"/>
      <c r="E47" s="254"/>
      <c r="F47" s="254"/>
      <c r="G47" s="254"/>
      <c r="H47" s="254"/>
      <c r="I47" s="254"/>
      <c r="J47" s="254"/>
      <c r="K47" s="254"/>
      <c r="L47" s="254"/>
      <c r="M47" s="254"/>
      <c r="N47" s="254"/>
      <c r="O47" s="254"/>
      <c r="P47" s="254"/>
      <c r="Q47" s="254"/>
      <c r="R47" s="254"/>
    </row>
    <row r="48" spans="1:18" x14ac:dyDescent="0.25">
      <c r="A48" s="254"/>
      <c r="B48" s="254"/>
      <c r="C48" s="254"/>
      <c r="D48" s="254"/>
      <c r="E48" s="254"/>
      <c r="F48" s="254"/>
      <c r="G48" s="254"/>
      <c r="H48" s="254"/>
      <c r="I48" s="254"/>
      <c r="J48" s="254"/>
      <c r="K48" s="254"/>
      <c r="L48" s="254"/>
      <c r="M48" s="254"/>
      <c r="N48" s="254"/>
      <c r="O48" s="254"/>
      <c r="P48" s="254"/>
      <c r="Q48" s="254"/>
      <c r="R48" s="254"/>
    </row>
    <row r="49" spans="1:18" x14ac:dyDescent="0.25">
      <c r="A49" s="254"/>
      <c r="B49" s="254"/>
      <c r="C49" s="254"/>
      <c r="D49" s="254"/>
      <c r="E49" s="254"/>
      <c r="F49" s="254"/>
      <c r="G49" s="254"/>
      <c r="H49" s="254"/>
      <c r="I49" s="254"/>
      <c r="J49" s="254"/>
      <c r="K49" s="254"/>
      <c r="L49" s="254"/>
      <c r="M49" s="254"/>
      <c r="N49" s="254"/>
      <c r="O49" s="254"/>
      <c r="P49" s="254"/>
      <c r="Q49" s="254"/>
      <c r="R49" s="254"/>
    </row>
    <row r="50" spans="1:18" x14ac:dyDescent="0.25">
      <c r="A50" s="254"/>
      <c r="B50" s="254"/>
      <c r="C50" s="254"/>
      <c r="D50" s="254"/>
      <c r="E50" s="254"/>
      <c r="F50" s="254"/>
      <c r="G50" s="254"/>
      <c r="H50" s="254"/>
      <c r="I50" s="254"/>
      <c r="J50" s="254"/>
      <c r="K50" s="254"/>
      <c r="L50" s="254"/>
      <c r="M50" s="254"/>
      <c r="N50" s="254"/>
      <c r="O50" s="254"/>
      <c r="P50" s="254"/>
      <c r="Q50" s="254"/>
      <c r="R50" s="254"/>
    </row>
    <row r="51" spans="1:18" x14ac:dyDescent="0.25">
      <c r="A51" s="254"/>
      <c r="B51" s="254"/>
      <c r="C51" s="254"/>
      <c r="D51" s="254"/>
      <c r="E51" s="254"/>
      <c r="F51" s="254"/>
      <c r="G51" s="254"/>
      <c r="H51" s="254"/>
      <c r="I51" s="254"/>
      <c r="J51" s="254"/>
      <c r="K51" s="254"/>
      <c r="L51" s="254"/>
      <c r="M51" s="254"/>
      <c r="N51" s="254"/>
      <c r="O51" s="254"/>
      <c r="P51" s="254"/>
      <c r="Q51" s="254"/>
      <c r="R51" s="254"/>
    </row>
    <row r="52" spans="1:18" x14ac:dyDescent="0.25">
      <c r="A52" s="254"/>
      <c r="B52" s="254"/>
      <c r="C52" s="254"/>
      <c r="D52" s="254"/>
      <c r="E52" s="254"/>
      <c r="F52" s="254"/>
      <c r="G52" s="254"/>
      <c r="H52" s="254"/>
      <c r="I52" s="254"/>
      <c r="J52" s="254"/>
      <c r="K52" s="254"/>
      <c r="L52" s="254"/>
      <c r="M52" s="254"/>
      <c r="N52" s="254"/>
      <c r="O52" s="254"/>
      <c r="P52" s="254"/>
      <c r="Q52" s="254"/>
      <c r="R52" s="254"/>
    </row>
    <row r="53" spans="1:18" x14ac:dyDescent="0.25">
      <c r="A53" s="254"/>
      <c r="B53" s="254"/>
      <c r="C53" s="254"/>
      <c r="D53" s="254"/>
      <c r="E53" s="254"/>
      <c r="F53" s="254"/>
      <c r="G53" s="254"/>
      <c r="H53" s="254"/>
      <c r="I53" s="254"/>
      <c r="J53" s="254"/>
      <c r="K53" s="254"/>
      <c r="L53" s="254"/>
      <c r="M53" s="254"/>
      <c r="N53" s="254"/>
      <c r="O53" s="254"/>
      <c r="P53" s="254"/>
      <c r="Q53" s="254"/>
      <c r="R53" s="254"/>
    </row>
    <row r="54" spans="1:18" x14ac:dyDescent="0.25">
      <c r="A54" s="254"/>
      <c r="B54" s="254"/>
      <c r="C54" s="254"/>
      <c r="D54" s="254"/>
      <c r="E54" s="254"/>
      <c r="F54" s="254"/>
      <c r="G54" s="254"/>
      <c r="H54" s="254"/>
      <c r="I54" s="254"/>
      <c r="J54" s="254"/>
      <c r="K54" s="254"/>
      <c r="L54" s="254"/>
      <c r="M54" s="254"/>
      <c r="N54" s="254"/>
      <c r="O54" s="254"/>
      <c r="P54" s="254"/>
      <c r="Q54" s="254"/>
      <c r="R54" s="254"/>
    </row>
    <row r="55" spans="1:18" x14ac:dyDescent="0.25">
      <c r="A55" s="254"/>
      <c r="B55" s="254"/>
      <c r="C55" s="254"/>
      <c r="D55" s="254"/>
      <c r="E55" s="254"/>
      <c r="F55" s="254"/>
      <c r="G55" s="254"/>
      <c r="H55" s="254"/>
      <c r="I55" s="254"/>
      <c r="J55" s="254"/>
      <c r="K55" s="254"/>
      <c r="L55" s="254"/>
      <c r="M55" s="254"/>
      <c r="N55" s="254"/>
      <c r="O55" s="254"/>
      <c r="P55" s="254"/>
      <c r="Q55" s="254"/>
      <c r="R55" s="254"/>
    </row>
    <row r="56" spans="1:18" x14ac:dyDescent="0.25">
      <c r="A56" s="254"/>
      <c r="B56" s="254"/>
      <c r="C56" s="254"/>
      <c r="D56" s="254"/>
      <c r="E56" s="254"/>
      <c r="F56" s="254"/>
      <c r="G56" s="254"/>
      <c r="H56" s="254"/>
      <c r="I56" s="254"/>
      <c r="J56" s="254"/>
      <c r="K56" s="254"/>
      <c r="L56" s="254"/>
      <c r="M56" s="254"/>
      <c r="N56" s="254"/>
      <c r="O56" s="254"/>
      <c r="P56" s="254"/>
      <c r="Q56" s="254"/>
      <c r="R56" s="254"/>
    </row>
    <row r="57" spans="1:18" x14ac:dyDescent="0.25">
      <c r="A57" s="254"/>
      <c r="B57" s="254"/>
      <c r="C57" s="254"/>
      <c r="D57" s="254"/>
      <c r="E57" s="254"/>
      <c r="F57" s="254"/>
      <c r="G57" s="254"/>
      <c r="H57" s="254"/>
      <c r="I57" s="254"/>
      <c r="J57" s="254"/>
      <c r="K57" s="254"/>
      <c r="L57" s="254"/>
      <c r="M57" s="254"/>
      <c r="N57" s="254"/>
      <c r="O57" s="254"/>
      <c r="P57" s="254"/>
      <c r="Q57" s="254"/>
      <c r="R57" s="254"/>
    </row>
    <row r="58" spans="1:18" x14ac:dyDescent="0.25">
      <c r="A58" s="254"/>
      <c r="B58" s="254"/>
      <c r="C58" s="254"/>
      <c r="D58" s="254"/>
      <c r="E58" s="254"/>
      <c r="F58" s="254"/>
      <c r="G58" s="254"/>
      <c r="H58" s="254"/>
      <c r="I58" s="254"/>
      <c r="J58" s="254"/>
      <c r="K58" s="254"/>
      <c r="L58" s="254"/>
      <c r="M58" s="254"/>
      <c r="N58" s="254"/>
      <c r="O58" s="254"/>
      <c r="P58" s="254"/>
      <c r="Q58" s="254"/>
      <c r="R58" s="254"/>
    </row>
  </sheetData>
  <mergeCells count="59">
    <mergeCell ref="I1:R42"/>
    <mergeCell ref="A43:R58"/>
    <mergeCell ref="A4:H4"/>
    <mergeCell ref="A1:H3"/>
    <mergeCell ref="D5:H5"/>
    <mergeCell ref="A7:A8"/>
    <mergeCell ref="B7:B8"/>
    <mergeCell ref="C7:C8"/>
    <mergeCell ref="A9:A10"/>
    <mergeCell ref="B9:B10"/>
    <mergeCell ref="C9:C10"/>
    <mergeCell ref="A11:A12"/>
    <mergeCell ref="B11:B12"/>
    <mergeCell ref="C11:C12"/>
    <mergeCell ref="A13:A14"/>
    <mergeCell ref="B13:B14"/>
    <mergeCell ref="C13:C14"/>
    <mergeCell ref="A15:A16"/>
    <mergeCell ref="B15:B16"/>
    <mergeCell ref="C15:C16"/>
    <mergeCell ref="A17:A18"/>
    <mergeCell ref="B17:B18"/>
    <mergeCell ref="C17:C18"/>
    <mergeCell ref="A19:A20"/>
    <mergeCell ref="B19:B20"/>
    <mergeCell ref="C19:C20"/>
    <mergeCell ref="A21:A22"/>
    <mergeCell ref="B21:B22"/>
    <mergeCell ref="C21:C22"/>
    <mergeCell ref="A23:A24"/>
    <mergeCell ref="B23:B24"/>
    <mergeCell ref="C23:C24"/>
    <mergeCell ref="A25:A26"/>
    <mergeCell ref="B25:B26"/>
    <mergeCell ref="C25:C26"/>
    <mergeCell ref="A27:A28"/>
    <mergeCell ref="B27:B28"/>
    <mergeCell ref="C27:C28"/>
    <mergeCell ref="A29:A30"/>
    <mergeCell ref="B29:B30"/>
    <mergeCell ref="C29:C30"/>
    <mergeCell ref="A31:A32"/>
    <mergeCell ref="B31:B32"/>
    <mergeCell ref="C31:C32"/>
    <mergeCell ref="A33:A34"/>
    <mergeCell ref="B33:B34"/>
    <mergeCell ref="C33:C34"/>
    <mergeCell ref="A35:A36"/>
    <mergeCell ref="B35:B36"/>
    <mergeCell ref="C35:C36"/>
    <mergeCell ref="A41:A42"/>
    <mergeCell ref="B41:B42"/>
    <mergeCell ref="C41:C42"/>
    <mergeCell ref="A37:A38"/>
    <mergeCell ref="B37:B38"/>
    <mergeCell ref="C37:C38"/>
    <mergeCell ref="A39:A40"/>
    <mergeCell ref="B39:B40"/>
    <mergeCell ref="C39:C40"/>
  </mergeCells>
  <conditionalFormatting sqref="D27">
    <cfRule type="duplicateValues" dxfId="2" priority="3"/>
  </conditionalFormatting>
  <conditionalFormatting sqref="D31">
    <cfRule type="duplicateValues" dxfId="1" priority="2"/>
  </conditionalFormatting>
  <conditionalFormatting sqref="D35">
    <cfRule type="duplicateValues" dxfId="0" priority="1"/>
  </conditionalFormatting>
  <pageMargins left="0.7" right="0.7" top="0.75" bottom="0.75" header="0.3" footer="0.3"/>
  <pageSetup scale="2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topLeftCell="A10" zoomScale="59" zoomScaleNormal="59" workbookViewId="0">
      <selection activeCell="D31" sqref="D31"/>
    </sheetView>
  </sheetViews>
  <sheetFormatPr baseColWidth="10" defaultRowHeight="15" x14ac:dyDescent="0.25"/>
  <cols>
    <col min="1" max="1" width="4.7109375" style="5" customWidth="1"/>
    <col min="2" max="2" width="27" customWidth="1"/>
    <col min="3" max="3" width="41.85546875" customWidth="1"/>
    <col min="4" max="4" width="30.7109375" customWidth="1"/>
    <col min="5" max="5" width="26.85546875" customWidth="1"/>
    <col min="6" max="6" width="24.140625" customWidth="1"/>
    <col min="7" max="7" width="25.42578125" customWidth="1"/>
    <col min="8" max="8" width="27.28515625" customWidth="1"/>
  </cols>
  <sheetData>
    <row r="1" spans="1:8" x14ac:dyDescent="0.25">
      <c r="A1" s="276" t="s">
        <v>161</v>
      </c>
      <c r="B1" s="277"/>
      <c r="C1" s="277"/>
      <c r="D1" s="277"/>
      <c r="E1" s="277"/>
      <c r="F1" s="277"/>
      <c r="G1" s="277"/>
      <c r="H1" s="278"/>
    </row>
    <row r="2" spans="1:8" x14ac:dyDescent="0.25">
      <c r="A2" s="279"/>
      <c r="B2" s="280"/>
      <c r="C2" s="280"/>
      <c r="D2" s="280"/>
      <c r="E2" s="280"/>
      <c r="F2" s="280"/>
      <c r="G2" s="280"/>
      <c r="H2" s="281"/>
    </row>
    <row r="3" spans="1:8" ht="15.75" thickBot="1" x14ac:dyDescent="0.3">
      <c r="A3" s="282"/>
      <c r="B3" s="283"/>
      <c r="C3" s="283"/>
      <c r="D3" s="283"/>
      <c r="E3" s="283"/>
      <c r="F3" s="283"/>
      <c r="G3" s="283"/>
      <c r="H3" s="284"/>
    </row>
    <row r="4" spans="1:8" ht="15.75" thickBot="1" x14ac:dyDescent="0.3">
      <c r="A4" s="285"/>
      <c r="B4" s="285"/>
      <c r="C4" s="285"/>
      <c r="D4" s="285"/>
      <c r="E4" s="285"/>
      <c r="F4" s="285"/>
      <c r="G4" s="285"/>
      <c r="H4" s="285"/>
    </row>
    <row r="5" spans="1:8" ht="57" customHeight="1" thickBot="1" x14ac:dyDescent="0.3">
      <c r="A5" s="182" t="s">
        <v>160</v>
      </c>
      <c r="B5" s="183" t="s">
        <v>6</v>
      </c>
      <c r="C5" s="183" t="s">
        <v>0</v>
      </c>
      <c r="D5" s="267" t="s">
        <v>184</v>
      </c>
      <c r="E5" s="268"/>
      <c r="F5" s="268"/>
      <c r="G5" s="268"/>
      <c r="H5" s="269"/>
    </row>
    <row r="6" spans="1:8" ht="44.25" customHeight="1" thickBot="1" x14ac:dyDescent="0.3">
      <c r="A6" s="63"/>
      <c r="B6" s="184"/>
      <c r="C6" s="185"/>
      <c r="D6" s="186" t="s">
        <v>180</v>
      </c>
      <c r="E6" s="187" t="s">
        <v>174</v>
      </c>
      <c r="F6" s="187" t="s">
        <v>175</v>
      </c>
      <c r="G6" s="187" t="s">
        <v>176</v>
      </c>
      <c r="H6" s="188" t="s">
        <v>178</v>
      </c>
    </row>
    <row r="7" spans="1:8" ht="47.25" customHeight="1" thickBot="1" x14ac:dyDescent="0.3">
      <c r="A7" s="298">
        <v>1</v>
      </c>
      <c r="B7" s="300" t="s">
        <v>165</v>
      </c>
      <c r="C7" s="302" t="s">
        <v>166</v>
      </c>
      <c r="D7" s="62" t="s">
        <v>181</v>
      </c>
      <c r="E7" s="154">
        <f>(945000+220000)/2</f>
        <v>582500</v>
      </c>
      <c r="F7" s="154"/>
      <c r="G7" s="154"/>
      <c r="H7" s="155"/>
    </row>
    <row r="8" spans="1:8" ht="49.5" customHeight="1" thickBot="1" x14ac:dyDescent="0.3">
      <c r="A8" s="299"/>
      <c r="B8" s="301"/>
      <c r="C8" s="303"/>
      <c r="D8" s="62" t="s">
        <v>182</v>
      </c>
      <c r="E8" s="154">
        <f>(220000+118125)/2</f>
        <v>169062.5</v>
      </c>
      <c r="F8" s="154"/>
      <c r="G8" s="154"/>
      <c r="H8" s="155"/>
    </row>
    <row r="9" spans="1:8" s="4" customFormat="1" ht="74.25" customHeight="1" thickBot="1" x14ac:dyDescent="0.3">
      <c r="A9" s="292">
        <v>2</v>
      </c>
      <c r="B9" s="294" t="s">
        <v>123</v>
      </c>
      <c r="C9" s="296" t="s">
        <v>167</v>
      </c>
      <c r="D9" s="57" t="s">
        <v>181</v>
      </c>
      <c r="E9" s="156">
        <f>(120000+101250)/2</f>
        <v>110625</v>
      </c>
      <c r="F9" s="156"/>
      <c r="G9" s="156"/>
      <c r="H9" s="157">
        <v>90000</v>
      </c>
    </row>
    <row r="10" spans="1:8" s="4" customFormat="1" ht="56.25" customHeight="1" thickBot="1" x14ac:dyDescent="0.3">
      <c r="A10" s="293"/>
      <c r="B10" s="295"/>
      <c r="C10" s="297"/>
      <c r="D10" s="57" t="s">
        <v>182</v>
      </c>
      <c r="E10" s="189">
        <f>(12000+12657)/2</f>
        <v>12328.5</v>
      </c>
      <c r="F10" s="189"/>
      <c r="G10" s="189"/>
      <c r="H10" s="190"/>
    </row>
    <row r="11" spans="1:8" ht="40.5" customHeight="1" thickBot="1" x14ac:dyDescent="0.3">
      <c r="A11" s="298">
        <v>3</v>
      </c>
      <c r="B11" s="300" t="s">
        <v>112</v>
      </c>
      <c r="C11" s="302" t="s">
        <v>154</v>
      </c>
      <c r="D11" s="62" t="s">
        <v>181</v>
      </c>
      <c r="E11" s="154">
        <f>(101250+90000)/2</f>
        <v>95625</v>
      </c>
      <c r="F11" s="154"/>
      <c r="G11" s="154"/>
      <c r="H11" s="155"/>
    </row>
    <row r="12" spans="1:8" ht="40.5" customHeight="1" thickBot="1" x14ac:dyDescent="0.3">
      <c r="A12" s="299"/>
      <c r="B12" s="301"/>
      <c r="C12" s="303"/>
      <c r="D12" s="62" t="s">
        <v>182</v>
      </c>
      <c r="E12" s="153">
        <f>(21068+12500)/2</f>
        <v>16784</v>
      </c>
      <c r="F12" s="153"/>
      <c r="G12" s="153"/>
      <c r="H12" s="158"/>
    </row>
    <row r="13" spans="1:8" ht="37.5" customHeight="1" thickBot="1" x14ac:dyDescent="0.3">
      <c r="A13" s="286">
        <v>4</v>
      </c>
      <c r="B13" s="288" t="s">
        <v>168</v>
      </c>
      <c r="C13" s="290" t="s">
        <v>169</v>
      </c>
      <c r="D13" s="43" t="s">
        <v>181</v>
      </c>
      <c r="E13" s="125">
        <f>(110000+120000)/2</f>
        <v>115000</v>
      </c>
      <c r="F13" s="131"/>
      <c r="G13" s="131"/>
      <c r="H13" s="159"/>
    </row>
    <row r="14" spans="1:8" ht="44.25" customHeight="1" thickBot="1" x14ac:dyDescent="0.3">
      <c r="A14" s="287"/>
      <c r="B14" s="289"/>
      <c r="C14" s="291"/>
      <c r="D14" s="43" t="s">
        <v>182</v>
      </c>
      <c r="E14" s="160">
        <f>(18711+20250)/2</f>
        <v>19480.5</v>
      </c>
      <c r="F14" s="161"/>
      <c r="G14" s="161"/>
      <c r="H14" s="162"/>
    </row>
  </sheetData>
  <mergeCells count="15">
    <mergeCell ref="A1:H3"/>
    <mergeCell ref="A4:H4"/>
    <mergeCell ref="A13:A14"/>
    <mergeCell ref="B13:B14"/>
    <mergeCell ref="C13:C14"/>
    <mergeCell ref="A9:A10"/>
    <mergeCell ref="B9:B10"/>
    <mergeCell ref="C9:C10"/>
    <mergeCell ref="A11:A12"/>
    <mergeCell ref="B11:B12"/>
    <mergeCell ref="C11:C12"/>
    <mergeCell ref="D5:H5"/>
    <mergeCell ref="A7:A8"/>
    <mergeCell ref="B7:B8"/>
    <mergeCell ref="C7:C8"/>
  </mergeCells>
  <pageMargins left="0.7" right="0.7" top="0.75" bottom="0.75" header="0.3" footer="0.3"/>
  <pageSetup scale="5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0" zoomScaleNormal="70" workbookViewId="0">
      <selection activeCell="D8" sqref="D8"/>
    </sheetView>
  </sheetViews>
  <sheetFormatPr baseColWidth="10" defaultRowHeight="15" x14ac:dyDescent="0.25"/>
  <cols>
    <col min="1" max="1" width="2.5703125" customWidth="1"/>
    <col min="2" max="2" width="34.7109375" bestFit="1" customWidth="1"/>
    <col min="3" max="3" width="42.5703125" bestFit="1" customWidth="1"/>
    <col min="4" max="4" width="22.7109375" customWidth="1"/>
    <col min="5" max="5" width="22.85546875" customWidth="1"/>
    <col min="6" max="6" width="17.85546875" customWidth="1"/>
    <col min="7" max="7" width="25" customWidth="1"/>
  </cols>
  <sheetData>
    <row r="1" spans="1:8" ht="15" customHeight="1" x14ac:dyDescent="0.25">
      <c r="A1" s="221" t="s">
        <v>163</v>
      </c>
      <c r="B1" s="222"/>
      <c r="C1" s="222"/>
      <c r="D1" s="222"/>
      <c r="E1" s="222"/>
      <c r="F1" s="222"/>
      <c r="G1" s="223"/>
    </row>
    <row r="2" spans="1:8" ht="15" customHeight="1" x14ac:dyDescent="0.25">
      <c r="A2" s="224"/>
      <c r="B2" s="225"/>
      <c r="C2" s="225"/>
      <c r="D2" s="225"/>
      <c r="E2" s="225"/>
      <c r="F2" s="225"/>
      <c r="G2" s="226"/>
    </row>
    <row r="3" spans="1:8" ht="15" customHeight="1" thickBot="1" x14ac:dyDescent="0.3">
      <c r="A3" s="227"/>
      <c r="B3" s="228"/>
      <c r="C3" s="228"/>
      <c r="D3" s="228"/>
      <c r="E3" s="228"/>
      <c r="F3" s="228"/>
      <c r="G3" s="229"/>
    </row>
    <row r="4" spans="1:8" x14ac:dyDescent="0.25">
      <c r="A4" s="208"/>
      <c r="B4" s="208"/>
      <c r="C4" s="208"/>
      <c r="D4" s="208"/>
      <c r="E4" s="208"/>
      <c r="F4" s="208"/>
      <c r="G4" s="307"/>
    </row>
    <row r="5" spans="1:8" x14ac:dyDescent="0.25">
      <c r="A5" s="1" t="s">
        <v>160</v>
      </c>
      <c r="B5" s="3" t="s">
        <v>6</v>
      </c>
      <c r="C5" s="3" t="s">
        <v>0</v>
      </c>
      <c r="D5" s="3" t="s">
        <v>107</v>
      </c>
      <c r="E5" s="3" t="s">
        <v>108</v>
      </c>
      <c r="F5" s="3" t="s">
        <v>109</v>
      </c>
      <c r="G5" s="3" t="s">
        <v>110</v>
      </c>
    </row>
    <row r="6" spans="1:8" ht="30" customHeight="1" x14ac:dyDescent="0.25">
      <c r="A6" s="1">
        <v>1</v>
      </c>
      <c r="B6" s="304" t="s">
        <v>111</v>
      </c>
      <c r="C6" s="169" t="s">
        <v>173</v>
      </c>
      <c r="D6" s="163">
        <v>105000</v>
      </c>
      <c r="E6" s="163">
        <f>(147400+189000)/2</f>
        <v>168200</v>
      </c>
      <c r="F6" s="164">
        <f>(216000+308000)/2</f>
        <v>262000</v>
      </c>
      <c r="G6" s="164">
        <f>(30800+472500)/2</f>
        <v>251650</v>
      </c>
      <c r="H6" s="4"/>
    </row>
    <row r="7" spans="1:8" ht="30" customHeight="1" x14ac:dyDescent="0.25">
      <c r="A7" s="1">
        <v>2</v>
      </c>
      <c r="B7" s="305"/>
      <c r="C7" s="170" t="s">
        <v>126</v>
      </c>
      <c r="D7" s="165">
        <v>1106000</v>
      </c>
      <c r="E7" s="163">
        <v>1347000</v>
      </c>
      <c r="F7" s="164">
        <v>2290000</v>
      </c>
      <c r="G7" s="164">
        <f>(132000+3510000)/2</f>
        <v>1821000</v>
      </c>
      <c r="H7" s="4"/>
    </row>
    <row r="8" spans="1:8" ht="30" customHeight="1" x14ac:dyDescent="0.25">
      <c r="A8" s="1">
        <v>3</v>
      </c>
      <c r="B8" s="305"/>
      <c r="C8" s="170" t="s">
        <v>127</v>
      </c>
      <c r="D8" s="166">
        <v>1106000</v>
      </c>
      <c r="E8" s="166">
        <v>1885000</v>
      </c>
      <c r="F8" s="167">
        <v>2230000</v>
      </c>
      <c r="G8" s="166">
        <f>(3510000+132000)/2</f>
        <v>1821000</v>
      </c>
      <c r="H8" s="4"/>
    </row>
    <row r="9" spans="1:8" ht="30" customHeight="1" x14ac:dyDescent="0.25">
      <c r="A9" s="1">
        <v>4</v>
      </c>
      <c r="B9" s="305"/>
      <c r="C9" s="170" t="s">
        <v>128</v>
      </c>
      <c r="D9" s="168">
        <f>(1496000+2025000)/2</f>
        <v>1760500</v>
      </c>
      <c r="E9" s="166">
        <v>2231000</v>
      </c>
      <c r="F9" s="167">
        <v>3370000</v>
      </c>
      <c r="G9" s="166">
        <f>(5130000+242000)/2</f>
        <v>2686000</v>
      </c>
      <c r="H9" s="4"/>
    </row>
    <row r="10" spans="1:8" ht="30" customHeight="1" x14ac:dyDescent="0.25">
      <c r="A10" s="1">
        <v>5</v>
      </c>
      <c r="B10" s="305"/>
      <c r="C10" s="170" t="s">
        <v>129</v>
      </c>
      <c r="D10" s="166">
        <v>1616600</v>
      </c>
      <c r="E10" s="166">
        <v>2802000</v>
      </c>
      <c r="F10" s="167">
        <v>3240000</v>
      </c>
      <c r="G10" s="166">
        <f>(5130000+242000)/2</f>
        <v>2686000</v>
      </c>
      <c r="H10" s="4"/>
    </row>
    <row r="11" spans="1:8" ht="30" customHeight="1" x14ac:dyDescent="0.25">
      <c r="A11" s="1">
        <v>6</v>
      </c>
      <c r="B11" s="306"/>
      <c r="C11" s="170" t="s">
        <v>130</v>
      </c>
      <c r="D11" s="166">
        <v>799000</v>
      </c>
      <c r="E11" s="166">
        <v>1711000</v>
      </c>
      <c r="F11" s="167">
        <v>1981000</v>
      </c>
      <c r="G11" s="166">
        <f>F11</f>
        <v>1981000</v>
      </c>
      <c r="H11" s="4"/>
    </row>
  </sheetData>
  <mergeCells count="3">
    <mergeCell ref="B6:B11"/>
    <mergeCell ref="A1:G3"/>
    <mergeCell ref="A4:G4"/>
  </mergeCells>
  <pageMargins left="0.7" right="0.7" top="0.75" bottom="0.75" header="0.3" footer="0.3"/>
  <pageSetup scale="7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07"/>
  <sheetViews>
    <sheetView zoomScale="60" zoomScaleNormal="60" workbookViewId="0">
      <selection activeCell="H9" sqref="H9"/>
    </sheetView>
  </sheetViews>
  <sheetFormatPr baseColWidth="10" defaultRowHeight="15" x14ac:dyDescent="0.25"/>
  <cols>
    <col min="1" max="1" width="5.42578125" style="5" customWidth="1"/>
    <col min="2" max="2" width="48.140625" customWidth="1"/>
    <col min="3" max="3" width="39.85546875" customWidth="1"/>
    <col min="4" max="4" width="27.140625" customWidth="1"/>
    <col min="5" max="5" width="22.85546875" customWidth="1"/>
    <col min="6" max="6" width="20.85546875" customWidth="1"/>
    <col min="7" max="7" width="21.7109375" customWidth="1"/>
    <col min="8" max="8" width="16.5703125" customWidth="1"/>
  </cols>
  <sheetData>
    <row r="1" spans="1:11" x14ac:dyDescent="0.25">
      <c r="A1" s="350" t="s">
        <v>162</v>
      </c>
      <c r="B1" s="351"/>
      <c r="C1" s="351"/>
      <c r="D1" s="351"/>
      <c r="E1" s="351"/>
      <c r="F1" s="351"/>
      <c r="G1" s="351"/>
      <c r="H1" s="352"/>
    </row>
    <row r="2" spans="1:11" x14ac:dyDescent="0.25">
      <c r="A2" s="353"/>
      <c r="B2" s="354"/>
      <c r="C2" s="354"/>
      <c r="D2" s="354"/>
      <c r="E2" s="354"/>
      <c r="F2" s="354"/>
      <c r="G2" s="354"/>
      <c r="H2" s="355"/>
    </row>
    <row r="3" spans="1:11" ht="15.75" thickBot="1" x14ac:dyDescent="0.3">
      <c r="A3" s="356"/>
      <c r="B3" s="357"/>
      <c r="C3" s="357"/>
      <c r="D3" s="357"/>
      <c r="E3" s="357"/>
      <c r="F3" s="357"/>
      <c r="G3" s="357"/>
      <c r="H3" s="358"/>
    </row>
    <row r="4" spans="1:11" ht="42.75" customHeight="1" thickBot="1" x14ac:dyDescent="0.3">
      <c r="A4" s="5" t="s">
        <v>160</v>
      </c>
      <c r="B4" s="67" t="s">
        <v>6</v>
      </c>
      <c r="C4" s="70" t="s">
        <v>0</v>
      </c>
      <c r="D4" s="365" t="s">
        <v>185</v>
      </c>
      <c r="E4" s="366"/>
      <c r="F4" s="366"/>
      <c r="G4" s="366"/>
      <c r="H4" s="367"/>
    </row>
    <row r="5" spans="1:11" ht="30" customHeight="1" thickBot="1" x14ac:dyDescent="0.3">
      <c r="B5" s="64"/>
      <c r="C5" s="71"/>
      <c r="D5" s="72" t="s">
        <v>180</v>
      </c>
      <c r="E5" s="55" t="s">
        <v>174</v>
      </c>
      <c r="F5" s="55" t="s">
        <v>175</v>
      </c>
      <c r="G5" s="55" t="s">
        <v>176</v>
      </c>
      <c r="H5" s="56" t="s">
        <v>178</v>
      </c>
    </row>
    <row r="6" spans="1:11" ht="38.25" customHeight="1" x14ac:dyDescent="0.25">
      <c r="A6" s="311">
        <v>1</v>
      </c>
      <c r="B6" s="313" t="s">
        <v>48</v>
      </c>
      <c r="C6" s="234" t="s">
        <v>62</v>
      </c>
      <c r="D6" s="33" t="s">
        <v>179</v>
      </c>
      <c r="E6" s="16">
        <v>3840000</v>
      </c>
      <c r="F6" s="16">
        <v>3840000</v>
      </c>
      <c r="G6" s="36"/>
      <c r="H6" s="51"/>
    </row>
    <row r="7" spans="1:11" ht="62.25" customHeight="1" thickBot="1" x14ac:dyDescent="0.3">
      <c r="A7" s="312"/>
      <c r="B7" s="314"/>
      <c r="C7" s="235"/>
      <c r="D7" s="173" t="s">
        <v>192</v>
      </c>
      <c r="E7" s="19">
        <f>E6-(E6*20%)</f>
        <v>3072000</v>
      </c>
      <c r="F7" s="19">
        <f>F6-(F6*20%)</f>
        <v>3072000</v>
      </c>
      <c r="G7" s="37"/>
      <c r="H7" s="52"/>
    </row>
    <row r="8" spans="1:11" s="4" customFormat="1" ht="30" customHeight="1" thickBot="1" x14ac:dyDescent="0.3">
      <c r="A8" s="308">
        <v>2</v>
      </c>
      <c r="B8" s="315" t="s">
        <v>49</v>
      </c>
      <c r="C8" s="240" t="s">
        <v>62</v>
      </c>
      <c r="D8" s="58" t="s">
        <v>179</v>
      </c>
      <c r="E8" s="7">
        <v>4800000</v>
      </c>
      <c r="F8" s="7">
        <v>4800000</v>
      </c>
      <c r="G8" s="174"/>
      <c r="H8" s="53"/>
      <c r="K8" s="171"/>
    </row>
    <row r="9" spans="1:11" s="4" customFormat="1" ht="60.75" customHeight="1" thickBot="1" x14ac:dyDescent="0.3">
      <c r="A9" s="308"/>
      <c r="B9" s="316"/>
      <c r="C9" s="241"/>
      <c r="D9" s="172" t="s">
        <v>192</v>
      </c>
      <c r="E9" s="204">
        <f>E8-(E8*20%)</f>
        <v>3840000</v>
      </c>
      <c r="F9" s="204">
        <f>F8-(F8*20%)</f>
        <v>3840000</v>
      </c>
      <c r="G9" s="175"/>
      <c r="H9" s="54"/>
    </row>
    <row r="10" spans="1:11" ht="30" customHeight="1" x14ac:dyDescent="0.25">
      <c r="A10" s="311">
        <v>3</v>
      </c>
      <c r="B10" s="313" t="s">
        <v>50</v>
      </c>
      <c r="C10" s="234" t="s">
        <v>62</v>
      </c>
      <c r="D10" s="33" t="s">
        <v>179</v>
      </c>
      <c r="E10" s="16">
        <v>7680000</v>
      </c>
      <c r="F10" s="16">
        <v>7680000</v>
      </c>
      <c r="G10" s="65"/>
      <c r="H10" s="51"/>
    </row>
    <row r="11" spans="1:11" ht="60" customHeight="1" thickBot="1" x14ac:dyDescent="0.3">
      <c r="A11" s="312"/>
      <c r="B11" s="314"/>
      <c r="C11" s="235"/>
      <c r="D11" s="173" t="s">
        <v>192</v>
      </c>
      <c r="E11" s="19">
        <f>E10-(E10*20%)</f>
        <v>6144000</v>
      </c>
      <c r="F11" s="19">
        <f>E11</f>
        <v>6144000</v>
      </c>
      <c r="G11" s="66"/>
      <c r="H11" s="52"/>
    </row>
    <row r="12" spans="1:11" s="4" customFormat="1" ht="30" customHeight="1" x14ac:dyDescent="0.25">
      <c r="A12" s="308">
        <v>4</v>
      </c>
      <c r="B12" s="315" t="s">
        <v>51</v>
      </c>
      <c r="C12" s="240" t="s">
        <v>62</v>
      </c>
      <c r="D12" s="58" t="s">
        <v>179</v>
      </c>
      <c r="E12" s="7">
        <v>10240000</v>
      </c>
      <c r="F12" s="7">
        <v>10240000</v>
      </c>
      <c r="G12" s="73"/>
      <c r="H12" s="53"/>
    </row>
    <row r="13" spans="1:11" s="4" customFormat="1" ht="75" customHeight="1" thickBot="1" x14ac:dyDescent="0.3">
      <c r="A13" s="308"/>
      <c r="B13" s="316"/>
      <c r="C13" s="241"/>
      <c r="D13" s="172" t="s">
        <v>192</v>
      </c>
      <c r="E13" s="204">
        <f>E12-(E12*20%)</f>
        <v>8192000</v>
      </c>
      <c r="F13" s="204">
        <f>E13</f>
        <v>8192000</v>
      </c>
      <c r="G13" s="74"/>
      <c r="H13" s="54"/>
    </row>
    <row r="14" spans="1:11" ht="45" customHeight="1" x14ac:dyDescent="0.25">
      <c r="A14" s="311">
        <v>5</v>
      </c>
      <c r="B14" s="313" t="s">
        <v>52</v>
      </c>
      <c r="C14" s="234" t="s">
        <v>63</v>
      </c>
      <c r="D14" s="33" t="s">
        <v>179</v>
      </c>
      <c r="E14" s="16">
        <v>526538</v>
      </c>
      <c r="F14" s="16">
        <v>526538</v>
      </c>
      <c r="G14" s="65"/>
      <c r="H14" s="51"/>
    </row>
    <row r="15" spans="1:11" ht="72.75" customHeight="1" thickBot="1" x14ac:dyDescent="0.3">
      <c r="A15" s="312"/>
      <c r="B15" s="314"/>
      <c r="C15" s="235"/>
      <c r="D15" s="173" t="s">
        <v>192</v>
      </c>
      <c r="E15" s="19">
        <f>E14-(E14*20%)</f>
        <v>421230.4</v>
      </c>
      <c r="F15" s="19">
        <f>E15</f>
        <v>421230.4</v>
      </c>
      <c r="G15" s="66"/>
      <c r="H15" s="52"/>
    </row>
    <row r="16" spans="1:11" s="4" customFormat="1" ht="30" customHeight="1" x14ac:dyDescent="0.25">
      <c r="A16" s="308">
        <v>6</v>
      </c>
      <c r="B16" s="309" t="s">
        <v>53</v>
      </c>
      <c r="C16" s="240" t="s">
        <v>64</v>
      </c>
      <c r="D16" s="58" t="s">
        <v>179</v>
      </c>
      <c r="E16" s="7">
        <f>(2250000+4522000)/2</f>
        <v>3386000</v>
      </c>
      <c r="F16" s="7">
        <f>E16</f>
        <v>3386000</v>
      </c>
      <c r="G16" s="73"/>
      <c r="H16" s="53"/>
    </row>
    <row r="17" spans="1:8" s="4" customFormat="1" ht="65.25" customHeight="1" thickBot="1" x14ac:dyDescent="0.3">
      <c r="A17" s="308"/>
      <c r="B17" s="310"/>
      <c r="C17" s="241"/>
      <c r="D17" s="172" t="s">
        <v>192</v>
      </c>
      <c r="E17" s="204">
        <f>E16-(E16*20%)</f>
        <v>2708800</v>
      </c>
      <c r="F17" s="204">
        <f>E17</f>
        <v>2708800</v>
      </c>
      <c r="G17" s="74"/>
      <c r="H17" s="54"/>
    </row>
    <row r="18" spans="1:8" ht="30" customHeight="1" x14ac:dyDescent="0.25">
      <c r="A18" s="311">
        <v>7</v>
      </c>
      <c r="B18" s="313" t="s">
        <v>54</v>
      </c>
      <c r="C18" s="234" t="s">
        <v>65</v>
      </c>
      <c r="D18" s="33" t="s">
        <v>179</v>
      </c>
      <c r="E18" s="16">
        <v>1345538</v>
      </c>
      <c r="F18" s="16">
        <v>1345538</v>
      </c>
      <c r="G18" s="65"/>
      <c r="H18" s="51"/>
    </row>
    <row r="19" spans="1:8" ht="62.25" customHeight="1" thickBot="1" x14ac:dyDescent="0.3">
      <c r="A19" s="312"/>
      <c r="B19" s="314"/>
      <c r="C19" s="235"/>
      <c r="D19" s="173" t="s">
        <v>192</v>
      </c>
      <c r="E19" s="19">
        <f>E18-(E18*20%)</f>
        <v>1076430.3999999999</v>
      </c>
      <c r="F19" s="19">
        <f>E19</f>
        <v>1076430.3999999999</v>
      </c>
      <c r="G19" s="66"/>
      <c r="H19" s="52"/>
    </row>
    <row r="20" spans="1:8" s="4" customFormat="1" ht="30" customHeight="1" x14ac:dyDescent="0.25">
      <c r="A20" s="308">
        <v>8</v>
      </c>
      <c r="B20" s="315" t="s">
        <v>54</v>
      </c>
      <c r="C20" s="240" t="s">
        <v>65</v>
      </c>
      <c r="D20" s="58" t="s">
        <v>179</v>
      </c>
      <c r="E20" s="10">
        <v>1345538</v>
      </c>
      <c r="F20" s="10">
        <v>1345538</v>
      </c>
      <c r="G20" s="73"/>
      <c r="H20" s="53"/>
    </row>
    <row r="21" spans="1:8" s="4" customFormat="1" ht="62.25" customHeight="1" thickBot="1" x14ac:dyDescent="0.3">
      <c r="A21" s="308"/>
      <c r="B21" s="316"/>
      <c r="C21" s="241"/>
      <c r="D21" s="172" t="s">
        <v>192</v>
      </c>
      <c r="E21" s="205">
        <f>E20-(E20*20%)</f>
        <v>1076430.3999999999</v>
      </c>
      <c r="F21" s="205">
        <f>E21</f>
        <v>1076430.3999999999</v>
      </c>
      <c r="G21" s="74"/>
      <c r="H21" s="54"/>
    </row>
    <row r="22" spans="1:8" ht="30" customHeight="1" x14ac:dyDescent="0.25">
      <c r="A22" s="311">
        <v>9</v>
      </c>
      <c r="B22" s="313" t="s">
        <v>55</v>
      </c>
      <c r="C22" s="234" t="s">
        <v>65</v>
      </c>
      <c r="D22" s="33" t="s">
        <v>179</v>
      </c>
      <c r="E22" s="16">
        <v>2400000</v>
      </c>
      <c r="F22" s="16">
        <v>2400000</v>
      </c>
      <c r="G22" s="65"/>
      <c r="H22" s="51"/>
    </row>
    <row r="23" spans="1:8" ht="61.5" customHeight="1" thickBot="1" x14ac:dyDescent="0.3">
      <c r="A23" s="312"/>
      <c r="B23" s="314"/>
      <c r="C23" s="235"/>
      <c r="D23" s="173" t="s">
        <v>192</v>
      </c>
      <c r="E23" s="19">
        <f>E22-(E22*20%)</f>
        <v>1920000</v>
      </c>
      <c r="F23" s="19">
        <f>E23</f>
        <v>1920000</v>
      </c>
      <c r="G23" s="66"/>
      <c r="H23" s="52"/>
    </row>
    <row r="24" spans="1:8" s="4" customFormat="1" ht="30" customHeight="1" x14ac:dyDescent="0.25">
      <c r="A24" s="308">
        <v>10</v>
      </c>
      <c r="B24" s="315" t="s">
        <v>56</v>
      </c>
      <c r="C24" s="240" t="s">
        <v>65</v>
      </c>
      <c r="D24" s="58" t="s">
        <v>179</v>
      </c>
      <c r="E24" s="7">
        <v>4600000</v>
      </c>
      <c r="F24" s="7">
        <v>4600000</v>
      </c>
      <c r="G24" s="73"/>
      <c r="H24" s="53"/>
    </row>
    <row r="25" spans="1:8" s="4" customFormat="1" ht="76.5" customHeight="1" thickBot="1" x14ac:dyDescent="0.3">
      <c r="A25" s="308"/>
      <c r="B25" s="316"/>
      <c r="C25" s="241"/>
      <c r="D25" s="172" t="s">
        <v>192</v>
      </c>
      <c r="E25" s="204">
        <f>E24-(E24*20%)</f>
        <v>3680000</v>
      </c>
      <c r="F25" s="204">
        <f>E25</f>
        <v>3680000</v>
      </c>
      <c r="G25" s="74"/>
      <c r="H25" s="54"/>
    </row>
    <row r="26" spans="1:8" ht="42" customHeight="1" x14ac:dyDescent="0.25">
      <c r="A26" s="311">
        <v>11</v>
      </c>
      <c r="B26" s="313" t="s">
        <v>57</v>
      </c>
      <c r="C26" s="234" t="s">
        <v>66</v>
      </c>
      <c r="D26" s="33" t="s">
        <v>179</v>
      </c>
      <c r="E26" s="16">
        <v>1200000</v>
      </c>
      <c r="F26" s="16">
        <v>1200000</v>
      </c>
      <c r="G26" s="65"/>
      <c r="H26" s="51"/>
    </row>
    <row r="27" spans="1:8" ht="91.5" customHeight="1" thickBot="1" x14ac:dyDescent="0.3">
      <c r="A27" s="312"/>
      <c r="B27" s="314"/>
      <c r="C27" s="235"/>
      <c r="D27" s="173" t="s">
        <v>192</v>
      </c>
      <c r="E27" s="19">
        <f>E26-(E26*20%)</f>
        <v>960000</v>
      </c>
      <c r="F27" s="19">
        <f>E27</f>
        <v>960000</v>
      </c>
      <c r="G27" s="66"/>
      <c r="H27" s="52"/>
    </row>
    <row r="28" spans="1:8" ht="42" customHeight="1" x14ac:dyDescent="0.25">
      <c r="A28" s="317">
        <v>12</v>
      </c>
      <c r="B28" s="319" t="s">
        <v>58</v>
      </c>
      <c r="C28" s="246" t="s">
        <v>67</v>
      </c>
      <c r="D28" s="58" t="s">
        <v>179</v>
      </c>
      <c r="E28" s="7">
        <v>2100000</v>
      </c>
      <c r="F28" s="7">
        <v>2100000</v>
      </c>
      <c r="G28" s="68"/>
      <c r="H28" s="49"/>
    </row>
    <row r="29" spans="1:8" ht="62.25" customHeight="1" thickBot="1" x14ac:dyDescent="0.3">
      <c r="A29" s="318"/>
      <c r="B29" s="320"/>
      <c r="C29" s="247"/>
      <c r="D29" s="172" t="s">
        <v>192</v>
      </c>
      <c r="E29" s="204">
        <f>E28-(E28*20%)</f>
        <v>1680000</v>
      </c>
      <c r="F29" s="204">
        <f>E29</f>
        <v>1680000</v>
      </c>
      <c r="G29" s="69"/>
      <c r="H29" s="50"/>
    </row>
    <row r="30" spans="1:8" ht="50.25" customHeight="1" x14ac:dyDescent="0.25">
      <c r="A30" s="317">
        <v>14</v>
      </c>
      <c r="B30" s="319" t="s">
        <v>59</v>
      </c>
      <c r="C30" s="246" t="s">
        <v>68</v>
      </c>
      <c r="D30" s="58" t="s">
        <v>179</v>
      </c>
      <c r="E30" s="7">
        <v>105126</v>
      </c>
      <c r="F30" s="7">
        <v>105126</v>
      </c>
      <c r="G30" s="68"/>
      <c r="H30" s="49"/>
    </row>
    <row r="31" spans="1:8" ht="63" customHeight="1" thickBot="1" x14ac:dyDescent="0.3">
      <c r="A31" s="318"/>
      <c r="B31" s="320"/>
      <c r="C31" s="247"/>
      <c r="D31" s="172" t="s">
        <v>192</v>
      </c>
      <c r="E31" s="204">
        <f>E30-(E30*20%)</f>
        <v>84100.800000000003</v>
      </c>
      <c r="F31" s="204">
        <f>E31</f>
        <v>84100.800000000003</v>
      </c>
      <c r="G31" s="69"/>
      <c r="H31" s="50"/>
    </row>
    <row r="32" spans="1:8" ht="57" customHeight="1" x14ac:dyDescent="0.25">
      <c r="A32" s="311">
        <v>15</v>
      </c>
      <c r="B32" s="313" t="s">
        <v>60</v>
      </c>
      <c r="C32" s="234" t="s">
        <v>68</v>
      </c>
      <c r="D32" s="33" t="s">
        <v>179</v>
      </c>
      <c r="E32" s="16">
        <v>246176</v>
      </c>
      <c r="F32" s="16">
        <v>246176</v>
      </c>
      <c r="G32" s="65"/>
      <c r="H32" s="51"/>
    </row>
    <row r="33" spans="1:8" ht="60" customHeight="1" thickBot="1" x14ac:dyDescent="0.3">
      <c r="A33" s="312"/>
      <c r="B33" s="314"/>
      <c r="C33" s="235"/>
      <c r="D33" s="173" t="s">
        <v>192</v>
      </c>
      <c r="E33" s="19">
        <f>E32-(E32*20%)</f>
        <v>196940.79999999999</v>
      </c>
      <c r="F33" s="19">
        <f>E33</f>
        <v>196940.79999999999</v>
      </c>
      <c r="G33" s="66"/>
      <c r="H33" s="52"/>
    </row>
    <row r="34" spans="1:8" ht="46.5" customHeight="1" x14ac:dyDescent="0.25">
      <c r="A34" s="317">
        <v>16</v>
      </c>
      <c r="B34" s="319" t="s">
        <v>61</v>
      </c>
      <c r="C34" s="246" t="s">
        <v>68</v>
      </c>
      <c r="D34" s="58" t="s">
        <v>179</v>
      </c>
      <c r="E34" s="7">
        <v>409538</v>
      </c>
      <c r="F34" s="7">
        <v>409538</v>
      </c>
      <c r="G34" s="68"/>
      <c r="H34" s="49"/>
    </row>
    <row r="35" spans="1:8" ht="71.25" customHeight="1" thickBot="1" x14ac:dyDescent="0.3">
      <c r="A35" s="318"/>
      <c r="B35" s="320"/>
      <c r="C35" s="247"/>
      <c r="D35" s="172" t="s">
        <v>192</v>
      </c>
      <c r="E35" s="204">
        <f>E34-(E34*20%)</f>
        <v>327630.40000000002</v>
      </c>
      <c r="F35" s="204">
        <f>E35</f>
        <v>327630.40000000002</v>
      </c>
      <c r="G35" s="69"/>
      <c r="H35" s="50"/>
    </row>
    <row r="36" spans="1:8" ht="43.5" customHeight="1" x14ac:dyDescent="0.25">
      <c r="A36" s="311">
        <v>17</v>
      </c>
      <c r="B36" s="313" t="s">
        <v>69</v>
      </c>
      <c r="C36" s="234" t="s">
        <v>70</v>
      </c>
      <c r="D36" s="33" t="s">
        <v>179</v>
      </c>
      <c r="E36" s="16">
        <v>90000</v>
      </c>
      <c r="F36" s="16">
        <v>90000</v>
      </c>
      <c r="G36" s="65"/>
      <c r="H36" s="51"/>
    </row>
    <row r="37" spans="1:8" ht="60.75" customHeight="1" thickBot="1" x14ac:dyDescent="0.3">
      <c r="A37" s="312"/>
      <c r="B37" s="314"/>
      <c r="C37" s="235"/>
      <c r="D37" s="173" t="s">
        <v>192</v>
      </c>
      <c r="E37" s="19">
        <f>E36-(E36*20%)</f>
        <v>72000</v>
      </c>
      <c r="F37" s="19">
        <f>E37</f>
        <v>72000</v>
      </c>
      <c r="G37" s="66"/>
      <c r="H37" s="52"/>
    </row>
    <row r="38" spans="1:8" ht="30" customHeight="1" x14ac:dyDescent="0.25">
      <c r="A38" s="311">
        <v>19</v>
      </c>
      <c r="B38" s="321" t="s">
        <v>71</v>
      </c>
      <c r="C38" s="234" t="s">
        <v>74</v>
      </c>
      <c r="D38" s="33" t="s">
        <v>179</v>
      </c>
      <c r="E38" s="16">
        <v>385790</v>
      </c>
      <c r="F38" s="16">
        <v>385790</v>
      </c>
      <c r="G38" s="65"/>
      <c r="H38" s="51"/>
    </row>
    <row r="39" spans="1:8" ht="65.25" customHeight="1" thickBot="1" x14ac:dyDescent="0.3">
      <c r="A39" s="312"/>
      <c r="B39" s="322"/>
      <c r="C39" s="235"/>
      <c r="D39" s="173" t="s">
        <v>192</v>
      </c>
      <c r="E39" s="19">
        <f>E38-(E38*20%)</f>
        <v>308632</v>
      </c>
      <c r="F39" s="19">
        <f>E39</f>
        <v>308632</v>
      </c>
      <c r="G39" s="66"/>
      <c r="H39" s="52"/>
    </row>
    <row r="40" spans="1:8" ht="30" customHeight="1" x14ac:dyDescent="0.25">
      <c r="A40" s="323">
        <v>20</v>
      </c>
      <c r="B40" s="324" t="s">
        <v>72</v>
      </c>
      <c r="C40" s="246" t="s">
        <v>74</v>
      </c>
      <c r="D40" s="58" t="s">
        <v>179</v>
      </c>
      <c r="E40" s="7">
        <v>900000</v>
      </c>
      <c r="F40" s="7">
        <v>900000</v>
      </c>
      <c r="G40" s="68"/>
      <c r="H40" s="49"/>
    </row>
    <row r="41" spans="1:8" ht="69.75" customHeight="1" thickBot="1" x14ac:dyDescent="0.3">
      <c r="A41" s="323"/>
      <c r="B41" s="325"/>
      <c r="C41" s="247"/>
      <c r="D41" s="172" t="s">
        <v>192</v>
      </c>
      <c r="E41" s="204">
        <f>E40-(E40*20%)</f>
        <v>720000</v>
      </c>
      <c r="F41" s="204">
        <f>E41</f>
        <v>720000</v>
      </c>
      <c r="G41" s="69"/>
      <c r="H41" s="50"/>
    </row>
    <row r="42" spans="1:8" ht="33.75" customHeight="1" x14ac:dyDescent="0.25">
      <c r="A42" s="311">
        <v>21</v>
      </c>
      <c r="B42" s="321" t="s">
        <v>73</v>
      </c>
      <c r="C42" s="234" t="s">
        <v>74</v>
      </c>
      <c r="D42" s="33" t="s">
        <v>179</v>
      </c>
      <c r="E42" s="16">
        <v>1400000</v>
      </c>
      <c r="F42" s="16">
        <v>1400000</v>
      </c>
      <c r="G42" s="65"/>
      <c r="H42" s="51"/>
    </row>
    <row r="43" spans="1:8" ht="73.5" customHeight="1" thickBot="1" x14ac:dyDescent="0.3">
      <c r="A43" s="312"/>
      <c r="B43" s="322"/>
      <c r="C43" s="235"/>
      <c r="D43" s="173" t="s">
        <v>192</v>
      </c>
      <c r="E43" s="206">
        <f>E42-(E42*20%)</f>
        <v>1120000</v>
      </c>
      <c r="F43" s="206">
        <f>E43</f>
        <v>1120000</v>
      </c>
      <c r="G43" s="66"/>
      <c r="H43" s="52"/>
    </row>
    <row r="44" spans="1:8" ht="33.75" customHeight="1" x14ac:dyDescent="0.25">
      <c r="A44" s="323">
        <v>22</v>
      </c>
      <c r="B44" s="324" t="s">
        <v>77</v>
      </c>
      <c r="C44" s="246" t="s">
        <v>78</v>
      </c>
      <c r="D44" s="58" t="s">
        <v>179</v>
      </c>
      <c r="E44" s="7">
        <v>30479</v>
      </c>
      <c r="F44" s="7">
        <v>30479</v>
      </c>
      <c r="G44" s="68"/>
      <c r="H44" s="49"/>
    </row>
    <row r="45" spans="1:8" ht="63.75" customHeight="1" thickBot="1" x14ac:dyDescent="0.3">
      <c r="A45" s="323"/>
      <c r="B45" s="325"/>
      <c r="C45" s="247"/>
      <c r="D45" s="172" t="s">
        <v>192</v>
      </c>
      <c r="E45" s="204">
        <f>E44-(E44*20%)</f>
        <v>24383.200000000001</v>
      </c>
      <c r="F45" s="204">
        <f>E45</f>
        <v>24383.200000000001</v>
      </c>
      <c r="G45" s="69"/>
      <c r="H45" s="50"/>
    </row>
    <row r="46" spans="1:8" ht="36" customHeight="1" x14ac:dyDescent="0.25">
      <c r="A46" s="311">
        <v>23</v>
      </c>
      <c r="B46" s="321" t="s">
        <v>75</v>
      </c>
      <c r="C46" s="234" t="s">
        <v>79</v>
      </c>
      <c r="D46" s="33" t="s">
        <v>179</v>
      </c>
      <c r="E46" s="16">
        <v>339353</v>
      </c>
      <c r="F46" s="16">
        <v>339353</v>
      </c>
      <c r="G46" s="65"/>
      <c r="H46" s="51"/>
    </row>
    <row r="47" spans="1:8" ht="59.25" customHeight="1" thickBot="1" x14ac:dyDescent="0.3">
      <c r="A47" s="312"/>
      <c r="B47" s="322"/>
      <c r="C47" s="235"/>
      <c r="D47" s="173" t="s">
        <v>192</v>
      </c>
      <c r="E47" s="19">
        <f>E46-(E46*20%)</f>
        <v>271482.40000000002</v>
      </c>
      <c r="F47" s="19">
        <f>E47</f>
        <v>271482.40000000002</v>
      </c>
      <c r="G47" s="66"/>
      <c r="H47" s="52"/>
    </row>
    <row r="48" spans="1:8" ht="23.25" customHeight="1" x14ac:dyDescent="0.25">
      <c r="A48" s="323">
        <v>24</v>
      </c>
      <c r="B48" s="324" t="s">
        <v>76</v>
      </c>
      <c r="C48" s="328"/>
      <c r="D48" s="58" t="s">
        <v>179</v>
      </c>
      <c r="E48" s="7">
        <v>339353</v>
      </c>
      <c r="F48" s="7">
        <v>339353</v>
      </c>
      <c r="G48" s="68"/>
      <c r="H48" s="49"/>
    </row>
    <row r="49" spans="1:8" ht="63.75" customHeight="1" thickBot="1" x14ac:dyDescent="0.3">
      <c r="A49" s="323"/>
      <c r="B49" s="325"/>
      <c r="C49" s="329"/>
      <c r="D49" s="172" t="s">
        <v>192</v>
      </c>
      <c r="E49" s="204">
        <f>E48-(E48*20%)</f>
        <v>271482.40000000002</v>
      </c>
      <c r="F49" s="204">
        <f>E49</f>
        <v>271482.40000000002</v>
      </c>
      <c r="G49" s="69"/>
      <c r="H49" s="50"/>
    </row>
    <row r="50" spans="1:8" ht="24.75" customHeight="1" x14ac:dyDescent="0.25">
      <c r="A50" s="298">
        <v>25</v>
      </c>
      <c r="B50" s="334" t="s">
        <v>80</v>
      </c>
      <c r="C50" s="234" t="s">
        <v>81</v>
      </c>
      <c r="D50" s="33" t="s">
        <v>179</v>
      </c>
      <c r="E50" s="16">
        <v>292538</v>
      </c>
      <c r="F50" s="16">
        <v>292538</v>
      </c>
      <c r="G50" s="65"/>
      <c r="H50" s="51"/>
    </row>
    <row r="51" spans="1:8" ht="60" customHeight="1" thickBot="1" x14ac:dyDescent="0.3">
      <c r="A51" s="299"/>
      <c r="B51" s="335"/>
      <c r="C51" s="235"/>
      <c r="D51" s="173" t="s">
        <v>192</v>
      </c>
      <c r="E51" s="19">
        <f>E50-(E50*20%)</f>
        <v>234030.4</v>
      </c>
      <c r="F51" s="19">
        <f>F50-(F50*10%)</f>
        <v>263284.2</v>
      </c>
      <c r="G51" s="66"/>
      <c r="H51" s="52"/>
    </row>
    <row r="52" spans="1:8" ht="29.25" customHeight="1" x14ac:dyDescent="0.25">
      <c r="A52" s="286">
        <v>26</v>
      </c>
      <c r="B52" s="326" t="s">
        <v>82</v>
      </c>
      <c r="C52" s="328"/>
      <c r="D52" s="58" t="s">
        <v>179</v>
      </c>
      <c r="E52" s="7">
        <v>600000</v>
      </c>
      <c r="F52" s="7">
        <v>600000</v>
      </c>
      <c r="G52" s="68"/>
      <c r="H52" s="49"/>
    </row>
    <row r="53" spans="1:8" ht="64.5" customHeight="1" thickBot="1" x14ac:dyDescent="0.3">
      <c r="A53" s="287"/>
      <c r="B53" s="327"/>
      <c r="C53" s="329"/>
      <c r="D53" s="172" t="s">
        <v>192</v>
      </c>
      <c r="E53" s="204">
        <f>E52-(E52*20%)</f>
        <v>480000</v>
      </c>
      <c r="F53" s="204">
        <f>E53</f>
        <v>480000</v>
      </c>
      <c r="G53" s="69"/>
      <c r="H53" s="50"/>
    </row>
    <row r="54" spans="1:8" ht="27" customHeight="1" x14ac:dyDescent="0.25">
      <c r="A54" s="298">
        <v>27</v>
      </c>
      <c r="B54" s="330" t="s">
        <v>83</v>
      </c>
      <c r="C54" s="332"/>
      <c r="D54" s="33" t="s">
        <v>179</v>
      </c>
      <c r="E54" s="16">
        <v>900000</v>
      </c>
      <c r="F54" s="16">
        <v>900000</v>
      </c>
      <c r="G54" s="65"/>
      <c r="H54" s="51"/>
    </row>
    <row r="55" spans="1:8" ht="60.75" customHeight="1" thickBot="1" x14ac:dyDescent="0.3">
      <c r="A55" s="299"/>
      <c r="B55" s="331"/>
      <c r="C55" s="333"/>
      <c r="D55" s="173" t="s">
        <v>192</v>
      </c>
      <c r="E55" s="19">
        <f>E54-(E54*20%)</f>
        <v>720000</v>
      </c>
      <c r="F55" s="19">
        <f>E55</f>
        <v>720000</v>
      </c>
      <c r="G55" s="66"/>
      <c r="H55" s="52"/>
    </row>
    <row r="56" spans="1:8" ht="24.75" customHeight="1" x14ac:dyDescent="0.25">
      <c r="A56" s="292">
        <v>29</v>
      </c>
      <c r="B56" s="342" t="s">
        <v>87</v>
      </c>
      <c r="C56" s="344"/>
      <c r="D56" s="58" t="s">
        <v>179</v>
      </c>
      <c r="E56" s="10">
        <v>122899</v>
      </c>
      <c r="F56" s="10">
        <v>122899</v>
      </c>
      <c r="G56" s="73"/>
      <c r="H56" s="53"/>
    </row>
    <row r="57" spans="1:8" ht="63" customHeight="1" thickBot="1" x14ac:dyDescent="0.3">
      <c r="A57" s="293"/>
      <c r="B57" s="343"/>
      <c r="C57" s="345"/>
      <c r="D57" s="172" t="s">
        <v>192</v>
      </c>
      <c r="E57" s="205">
        <f>E56-(E56*20%)</f>
        <v>98319.2</v>
      </c>
      <c r="F57" s="205">
        <f>E57</f>
        <v>98319.2</v>
      </c>
      <c r="G57" s="74"/>
      <c r="H57" s="54"/>
    </row>
    <row r="58" spans="1:8" ht="27.75" customHeight="1" x14ac:dyDescent="0.25">
      <c r="A58" s="336">
        <v>30</v>
      </c>
      <c r="B58" s="338" t="s">
        <v>84</v>
      </c>
      <c r="C58" s="340"/>
      <c r="D58" s="176" t="s">
        <v>179</v>
      </c>
      <c r="E58" s="25">
        <v>180000</v>
      </c>
      <c r="F58" s="25">
        <v>180000</v>
      </c>
      <c r="G58" s="177"/>
      <c r="H58" s="178"/>
    </row>
    <row r="59" spans="1:8" ht="62.25" customHeight="1" thickBot="1" x14ac:dyDescent="0.3">
      <c r="A59" s="337"/>
      <c r="B59" s="339"/>
      <c r="C59" s="341"/>
      <c r="D59" s="179" t="s">
        <v>192</v>
      </c>
      <c r="E59" s="207">
        <f>E58-(E58*20%)</f>
        <v>144000</v>
      </c>
      <c r="F59" s="207">
        <f>E59</f>
        <v>144000</v>
      </c>
      <c r="G59" s="180"/>
      <c r="H59" s="181"/>
    </row>
    <row r="60" spans="1:8" ht="25.5" customHeight="1" x14ac:dyDescent="0.25">
      <c r="A60" s="292">
        <v>31</v>
      </c>
      <c r="B60" s="342" t="s">
        <v>85</v>
      </c>
      <c r="C60" s="344"/>
      <c r="D60" s="58" t="s">
        <v>179</v>
      </c>
      <c r="E60" s="10">
        <v>220000</v>
      </c>
      <c r="F60" s="10">
        <v>220000</v>
      </c>
      <c r="G60" s="73"/>
      <c r="H60" s="53"/>
    </row>
    <row r="61" spans="1:8" ht="63.75" customHeight="1" thickBot="1" x14ac:dyDescent="0.3">
      <c r="A61" s="293"/>
      <c r="B61" s="343"/>
      <c r="C61" s="345"/>
      <c r="D61" s="172" t="s">
        <v>192</v>
      </c>
      <c r="E61" s="205">
        <f>E60-(E60*20%)</f>
        <v>176000</v>
      </c>
      <c r="F61" s="205">
        <f>E61</f>
        <v>176000</v>
      </c>
      <c r="G61" s="74"/>
      <c r="H61" s="54"/>
    </row>
    <row r="62" spans="1:8" ht="27" customHeight="1" x14ac:dyDescent="0.25">
      <c r="A62" s="311">
        <v>33</v>
      </c>
      <c r="B62" s="313" t="s">
        <v>86</v>
      </c>
      <c r="C62" s="332"/>
      <c r="D62" s="33" t="s">
        <v>179</v>
      </c>
      <c r="E62" s="16">
        <v>1400000</v>
      </c>
      <c r="F62" s="16">
        <v>1400000</v>
      </c>
      <c r="G62" s="65"/>
      <c r="H62" s="51"/>
    </row>
    <row r="63" spans="1:8" ht="70.5" customHeight="1" thickBot="1" x14ac:dyDescent="0.3">
      <c r="A63" s="312"/>
      <c r="B63" s="314"/>
      <c r="C63" s="333"/>
      <c r="D63" s="173" t="s">
        <v>192</v>
      </c>
      <c r="E63" s="19">
        <f>E62-(E62*20%)</f>
        <v>1120000</v>
      </c>
      <c r="F63" s="19">
        <f>E63</f>
        <v>1120000</v>
      </c>
      <c r="G63" s="66"/>
      <c r="H63" s="52"/>
    </row>
    <row r="64" spans="1:8" ht="30" customHeight="1" x14ac:dyDescent="0.25">
      <c r="A64" s="317">
        <v>34</v>
      </c>
      <c r="B64" s="324" t="s">
        <v>88</v>
      </c>
      <c r="C64" s="328"/>
      <c r="D64" s="58" t="s">
        <v>179</v>
      </c>
      <c r="E64" s="7">
        <v>2000000</v>
      </c>
      <c r="F64" s="7">
        <v>2000000</v>
      </c>
      <c r="G64" s="68"/>
      <c r="H64" s="49"/>
    </row>
    <row r="65" spans="1:8" ht="63" customHeight="1" thickBot="1" x14ac:dyDescent="0.3">
      <c r="A65" s="318"/>
      <c r="B65" s="325"/>
      <c r="C65" s="329"/>
      <c r="D65" s="172" t="s">
        <v>192</v>
      </c>
      <c r="E65" s="204">
        <f>E64-(E64*20%)</f>
        <v>1600000</v>
      </c>
      <c r="F65" s="204">
        <f>E65</f>
        <v>1600000</v>
      </c>
      <c r="G65" s="69"/>
      <c r="H65" s="50"/>
    </row>
    <row r="66" spans="1:8" ht="32.25" customHeight="1" x14ac:dyDescent="0.25">
      <c r="A66" s="311">
        <v>35</v>
      </c>
      <c r="B66" s="321" t="s">
        <v>89</v>
      </c>
      <c r="C66" s="346"/>
      <c r="D66" s="33" t="s">
        <v>179</v>
      </c>
      <c r="E66" s="16">
        <v>2800000</v>
      </c>
      <c r="F66" s="16">
        <v>2800000</v>
      </c>
      <c r="G66" s="65"/>
      <c r="H66" s="51"/>
    </row>
    <row r="67" spans="1:8" ht="64.5" customHeight="1" thickBot="1" x14ac:dyDescent="0.3">
      <c r="A67" s="312"/>
      <c r="B67" s="322"/>
      <c r="C67" s="347"/>
      <c r="D67" s="173" t="s">
        <v>192</v>
      </c>
      <c r="E67" s="19">
        <f>E66-(E66*20%)</f>
        <v>2240000</v>
      </c>
      <c r="F67" s="19">
        <f>E67</f>
        <v>2240000</v>
      </c>
      <c r="G67" s="66"/>
      <c r="H67" s="52"/>
    </row>
    <row r="68" spans="1:8" ht="33.75" customHeight="1" x14ac:dyDescent="0.25">
      <c r="A68" s="317">
        <v>36</v>
      </c>
      <c r="B68" s="324" t="s">
        <v>90</v>
      </c>
      <c r="C68" s="348"/>
      <c r="D68" s="58" t="s">
        <v>179</v>
      </c>
      <c r="E68" s="7">
        <v>3500000</v>
      </c>
      <c r="F68" s="7">
        <v>3500000</v>
      </c>
      <c r="G68" s="68"/>
      <c r="H68" s="49"/>
    </row>
    <row r="69" spans="1:8" ht="61.5" customHeight="1" thickBot="1" x14ac:dyDescent="0.3">
      <c r="A69" s="318"/>
      <c r="B69" s="325"/>
      <c r="C69" s="349"/>
      <c r="D69" s="172" t="s">
        <v>192</v>
      </c>
      <c r="E69" s="204">
        <f>E68-(E68*20%)</f>
        <v>2800000</v>
      </c>
      <c r="F69" s="204">
        <f>E69</f>
        <v>2800000</v>
      </c>
      <c r="G69" s="69"/>
      <c r="H69" s="50"/>
    </row>
    <row r="70" spans="1:8" ht="33.75" customHeight="1" x14ac:dyDescent="0.25">
      <c r="A70" s="311">
        <v>37</v>
      </c>
      <c r="B70" s="313" t="s">
        <v>91</v>
      </c>
      <c r="C70" s="346"/>
      <c r="D70" s="33" t="s">
        <v>179</v>
      </c>
      <c r="E70" s="16">
        <v>4000000</v>
      </c>
      <c r="F70" s="16">
        <v>4000000</v>
      </c>
      <c r="G70" s="65"/>
      <c r="H70" s="51"/>
    </row>
    <row r="71" spans="1:8" ht="66.75" customHeight="1" thickBot="1" x14ac:dyDescent="0.3">
      <c r="A71" s="312"/>
      <c r="B71" s="314"/>
      <c r="C71" s="347"/>
      <c r="D71" s="173" t="s">
        <v>192</v>
      </c>
      <c r="E71" s="19">
        <f>E70-(E70*20%)</f>
        <v>3200000</v>
      </c>
      <c r="F71" s="19">
        <f>E71</f>
        <v>3200000</v>
      </c>
      <c r="G71" s="66"/>
      <c r="H71" s="52"/>
    </row>
    <row r="72" spans="1:8" ht="29.25" customHeight="1" x14ac:dyDescent="0.25">
      <c r="A72" s="317">
        <v>38</v>
      </c>
      <c r="B72" s="319" t="s">
        <v>92</v>
      </c>
      <c r="C72" s="348"/>
      <c r="D72" s="58" t="s">
        <v>179</v>
      </c>
      <c r="E72" s="7">
        <v>193160</v>
      </c>
      <c r="F72" s="7">
        <v>193160</v>
      </c>
      <c r="G72" s="68"/>
      <c r="H72" s="49"/>
    </row>
    <row r="73" spans="1:8" ht="62.25" customHeight="1" thickBot="1" x14ac:dyDescent="0.3">
      <c r="A73" s="318"/>
      <c r="B73" s="320"/>
      <c r="C73" s="349"/>
      <c r="D73" s="172" t="s">
        <v>192</v>
      </c>
      <c r="E73" s="204">
        <f>E72-(E72*20%)</f>
        <v>154528</v>
      </c>
      <c r="F73" s="204">
        <f>E73</f>
        <v>154528</v>
      </c>
      <c r="G73" s="69"/>
      <c r="H73" s="50"/>
    </row>
    <row r="74" spans="1:8" ht="27.75" customHeight="1" x14ac:dyDescent="0.25">
      <c r="A74" s="311">
        <v>39</v>
      </c>
      <c r="B74" s="313" t="s">
        <v>93</v>
      </c>
      <c r="C74" s="346"/>
      <c r="D74" s="33" t="s">
        <v>179</v>
      </c>
      <c r="E74" s="16">
        <v>300000</v>
      </c>
      <c r="F74" s="16">
        <v>300000</v>
      </c>
      <c r="G74" s="65"/>
      <c r="H74" s="51"/>
    </row>
    <row r="75" spans="1:8" ht="61.5" customHeight="1" thickBot="1" x14ac:dyDescent="0.3">
      <c r="A75" s="312"/>
      <c r="B75" s="314"/>
      <c r="C75" s="347"/>
      <c r="D75" s="173" t="s">
        <v>192</v>
      </c>
      <c r="E75" s="19">
        <f>E74-(E74*20%)</f>
        <v>240000</v>
      </c>
      <c r="F75" s="19">
        <f>E75</f>
        <v>240000</v>
      </c>
      <c r="G75" s="66"/>
      <c r="H75" s="52"/>
    </row>
    <row r="76" spans="1:8" ht="38.25" customHeight="1" x14ac:dyDescent="0.25">
      <c r="A76" s="317">
        <v>40</v>
      </c>
      <c r="B76" s="319" t="s">
        <v>94</v>
      </c>
      <c r="C76" s="348"/>
      <c r="D76" s="58" t="s">
        <v>179</v>
      </c>
      <c r="E76" s="7">
        <v>400000</v>
      </c>
      <c r="F76" s="7">
        <v>400000</v>
      </c>
      <c r="G76" s="68"/>
      <c r="H76" s="49"/>
    </row>
    <row r="77" spans="1:8" ht="64.5" customHeight="1" thickBot="1" x14ac:dyDescent="0.3">
      <c r="A77" s="318"/>
      <c r="B77" s="320"/>
      <c r="C77" s="349"/>
      <c r="D77" s="172" t="s">
        <v>192</v>
      </c>
      <c r="E77" s="204">
        <f>E76-(E76*20%)</f>
        <v>320000</v>
      </c>
      <c r="F77" s="204">
        <f>E77</f>
        <v>320000</v>
      </c>
      <c r="G77" s="69"/>
      <c r="H77" s="50"/>
    </row>
    <row r="78" spans="1:8" ht="27.75" customHeight="1" x14ac:dyDescent="0.25">
      <c r="A78" s="311">
        <v>41</v>
      </c>
      <c r="B78" s="313" t="s">
        <v>95</v>
      </c>
      <c r="C78" s="346"/>
      <c r="D78" s="33" t="s">
        <v>179</v>
      </c>
      <c r="E78" s="16">
        <v>500000</v>
      </c>
      <c r="F78" s="16">
        <v>500000</v>
      </c>
      <c r="G78" s="65"/>
      <c r="H78" s="51"/>
    </row>
    <row r="79" spans="1:8" ht="63" customHeight="1" thickBot="1" x14ac:dyDescent="0.3">
      <c r="A79" s="312"/>
      <c r="B79" s="314"/>
      <c r="C79" s="347"/>
      <c r="D79" s="173" t="s">
        <v>192</v>
      </c>
      <c r="E79" s="19">
        <f>E78-(E78*20%)</f>
        <v>400000</v>
      </c>
      <c r="F79" s="19">
        <f>E79</f>
        <v>400000</v>
      </c>
      <c r="G79" s="66"/>
      <c r="H79" s="52"/>
    </row>
    <row r="80" spans="1:8" ht="31.5" customHeight="1" x14ac:dyDescent="0.25">
      <c r="A80" s="317">
        <v>42</v>
      </c>
      <c r="B80" s="319" t="s">
        <v>96</v>
      </c>
      <c r="C80" s="348"/>
      <c r="D80" s="58" t="s">
        <v>179</v>
      </c>
      <c r="E80" s="7">
        <v>650000</v>
      </c>
      <c r="F80" s="7">
        <v>650000</v>
      </c>
      <c r="G80" s="68"/>
      <c r="H80" s="49"/>
    </row>
    <row r="81" spans="1:8" ht="61.5" customHeight="1" thickBot="1" x14ac:dyDescent="0.3">
      <c r="A81" s="318"/>
      <c r="B81" s="320"/>
      <c r="C81" s="349"/>
      <c r="D81" s="172" t="s">
        <v>192</v>
      </c>
      <c r="E81" s="204">
        <f>E80-(E80*20%)</f>
        <v>520000</v>
      </c>
      <c r="F81" s="204">
        <f>E81</f>
        <v>520000</v>
      </c>
      <c r="G81" s="69"/>
      <c r="H81" s="50"/>
    </row>
    <row r="82" spans="1:8" ht="27.75" customHeight="1" x14ac:dyDescent="0.25">
      <c r="A82" s="311">
        <v>43</v>
      </c>
      <c r="B82" s="313" t="s">
        <v>97</v>
      </c>
      <c r="C82" s="346"/>
      <c r="D82" s="33" t="s">
        <v>179</v>
      </c>
      <c r="E82" s="16">
        <v>1000000</v>
      </c>
      <c r="F82" s="16">
        <v>1000000</v>
      </c>
      <c r="G82" s="65"/>
      <c r="H82" s="51"/>
    </row>
    <row r="83" spans="1:8" ht="60.75" customHeight="1" thickBot="1" x14ac:dyDescent="0.3">
      <c r="A83" s="312"/>
      <c r="B83" s="314"/>
      <c r="C83" s="347"/>
      <c r="D83" s="173" t="s">
        <v>192</v>
      </c>
      <c r="E83" s="19">
        <f>E82-(E82*20%)</f>
        <v>800000</v>
      </c>
      <c r="F83" s="19">
        <f>E83</f>
        <v>800000</v>
      </c>
      <c r="G83" s="66"/>
      <c r="H83" s="52"/>
    </row>
    <row r="84" spans="1:8" ht="33.75" customHeight="1" x14ac:dyDescent="0.25">
      <c r="A84" s="317">
        <v>44</v>
      </c>
      <c r="B84" s="319" t="s">
        <v>125</v>
      </c>
      <c r="C84" s="348"/>
      <c r="D84" s="58" t="s">
        <v>179</v>
      </c>
      <c r="E84" s="7">
        <v>3500000</v>
      </c>
      <c r="F84" s="7">
        <v>3500000</v>
      </c>
      <c r="G84" s="68"/>
      <c r="H84" s="49"/>
    </row>
    <row r="85" spans="1:8" ht="68.25" customHeight="1" thickBot="1" x14ac:dyDescent="0.3">
      <c r="A85" s="318"/>
      <c r="B85" s="320"/>
      <c r="C85" s="349"/>
      <c r="D85" s="172" t="s">
        <v>192</v>
      </c>
      <c r="E85" s="204">
        <f>E84-(E84*20%)</f>
        <v>2800000</v>
      </c>
      <c r="F85" s="204">
        <f>E85</f>
        <v>2800000</v>
      </c>
      <c r="G85" s="69"/>
      <c r="H85" s="50"/>
    </row>
    <row r="86" spans="1:8" ht="27" customHeight="1" x14ac:dyDescent="0.25">
      <c r="A86" s="311">
        <v>45</v>
      </c>
      <c r="B86" s="313" t="s">
        <v>98</v>
      </c>
      <c r="C86" s="346"/>
      <c r="D86" s="33" t="s">
        <v>179</v>
      </c>
      <c r="E86" s="16">
        <v>450000</v>
      </c>
      <c r="F86" s="16">
        <v>450000</v>
      </c>
      <c r="G86" s="65"/>
      <c r="H86" s="51"/>
    </row>
    <row r="87" spans="1:8" ht="69" customHeight="1" thickBot="1" x14ac:dyDescent="0.3">
      <c r="A87" s="312"/>
      <c r="B87" s="314"/>
      <c r="C87" s="347"/>
      <c r="D87" s="173" t="s">
        <v>192</v>
      </c>
      <c r="E87" s="19">
        <f>E86-(E86*20%)</f>
        <v>360000</v>
      </c>
      <c r="F87" s="19">
        <f>E87</f>
        <v>360000</v>
      </c>
      <c r="G87" s="66"/>
      <c r="H87" s="52"/>
    </row>
    <row r="88" spans="1:8" ht="29.25" customHeight="1" x14ac:dyDescent="0.25">
      <c r="A88" s="317">
        <v>46</v>
      </c>
      <c r="B88" s="319" t="s">
        <v>99</v>
      </c>
      <c r="C88" s="348"/>
      <c r="D88" s="58" t="s">
        <v>179</v>
      </c>
      <c r="E88" s="7">
        <v>110000</v>
      </c>
      <c r="F88" s="7">
        <v>110000</v>
      </c>
      <c r="G88" s="68"/>
      <c r="H88" s="49"/>
    </row>
    <row r="89" spans="1:8" ht="66" customHeight="1" thickBot="1" x14ac:dyDescent="0.3">
      <c r="A89" s="318"/>
      <c r="B89" s="320"/>
      <c r="C89" s="349"/>
      <c r="D89" s="172" t="s">
        <v>192</v>
      </c>
      <c r="E89" s="204">
        <f>E88-(E88*20%)</f>
        <v>88000</v>
      </c>
      <c r="F89" s="204">
        <f>E89</f>
        <v>88000</v>
      </c>
      <c r="G89" s="69"/>
      <c r="H89" s="50"/>
    </row>
    <row r="90" spans="1:8" ht="31.5" customHeight="1" x14ac:dyDescent="0.25">
      <c r="A90" s="311">
        <v>47</v>
      </c>
      <c r="B90" s="313" t="s">
        <v>100</v>
      </c>
      <c r="C90" s="346"/>
      <c r="D90" s="33" t="s">
        <v>179</v>
      </c>
      <c r="E90" s="16">
        <v>110000</v>
      </c>
      <c r="F90" s="16">
        <v>110000</v>
      </c>
      <c r="G90" s="65"/>
      <c r="H90" s="51"/>
    </row>
    <row r="91" spans="1:8" ht="62.25" customHeight="1" thickBot="1" x14ac:dyDescent="0.3">
      <c r="A91" s="312"/>
      <c r="B91" s="314"/>
      <c r="C91" s="347"/>
      <c r="D91" s="173" t="s">
        <v>192</v>
      </c>
      <c r="E91" s="19">
        <f>E90-(E90*20%)</f>
        <v>88000</v>
      </c>
      <c r="F91" s="19">
        <f>E91</f>
        <v>88000</v>
      </c>
      <c r="G91" s="66"/>
      <c r="H91" s="52"/>
    </row>
    <row r="92" spans="1:8" ht="30" customHeight="1" x14ac:dyDescent="0.25">
      <c r="A92" s="317">
        <v>48</v>
      </c>
      <c r="B92" s="315" t="s">
        <v>101</v>
      </c>
      <c r="C92" s="348"/>
      <c r="D92" s="58" t="s">
        <v>179</v>
      </c>
      <c r="E92" s="7">
        <v>110000</v>
      </c>
      <c r="F92" s="7">
        <v>110000</v>
      </c>
      <c r="G92" s="68"/>
      <c r="H92" s="49"/>
    </row>
    <row r="93" spans="1:8" ht="56.25" customHeight="1" thickBot="1" x14ac:dyDescent="0.3">
      <c r="A93" s="318"/>
      <c r="B93" s="316"/>
      <c r="C93" s="349"/>
      <c r="D93" s="172" t="s">
        <v>192</v>
      </c>
      <c r="E93" s="204">
        <f>E92-(E92*20%)</f>
        <v>88000</v>
      </c>
      <c r="F93" s="204">
        <f>E93</f>
        <v>88000</v>
      </c>
      <c r="G93" s="69"/>
      <c r="H93" s="50"/>
    </row>
    <row r="94" spans="1:8" ht="27.75" customHeight="1" x14ac:dyDescent="0.25">
      <c r="A94" s="311">
        <v>49</v>
      </c>
      <c r="B94" s="313" t="s">
        <v>124</v>
      </c>
      <c r="C94" s="346"/>
      <c r="D94" s="33" t="s">
        <v>179</v>
      </c>
      <c r="E94" s="16">
        <v>110000</v>
      </c>
      <c r="F94" s="16">
        <v>110000</v>
      </c>
      <c r="G94" s="65"/>
      <c r="H94" s="51"/>
    </row>
    <row r="95" spans="1:8" ht="66.75" customHeight="1" thickBot="1" x14ac:dyDescent="0.3">
      <c r="A95" s="312"/>
      <c r="B95" s="314"/>
      <c r="C95" s="347"/>
      <c r="D95" s="173" t="s">
        <v>192</v>
      </c>
      <c r="E95" s="19">
        <f>E94-(E94*20%)</f>
        <v>88000</v>
      </c>
      <c r="F95" s="19">
        <f>E95</f>
        <v>88000</v>
      </c>
      <c r="G95" s="66"/>
      <c r="H95" s="52"/>
    </row>
    <row r="96" spans="1:8" ht="33.75" customHeight="1" x14ac:dyDescent="0.25">
      <c r="A96" s="317">
        <v>50</v>
      </c>
      <c r="B96" s="315" t="s">
        <v>102</v>
      </c>
      <c r="C96" s="348"/>
      <c r="D96" s="58" t="s">
        <v>179</v>
      </c>
      <c r="E96" s="7">
        <v>60000</v>
      </c>
      <c r="F96" s="7">
        <v>60000</v>
      </c>
      <c r="G96" s="68"/>
      <c r="H96" s="49"/>
    </row>
    <row r="97" spans="1:8" ht="61.5" customHeight="1" thickBot="1" x14ac:dyDescent="0.3">
      <c r="A97" s="318"/>
      <c r="B97" s="316"/>
      <c r="C97" s="349"/>
      <c r="D97" s="172" t="s">
        <v>192</v>
      </c>
      <c r="E97" s="204">
        <f>E96-(E96*20%)</f>
        <v>48000</v>
      </c>
      <c r="F97" s="204">
        <f>E97</f>
        <v>48000</v>
      </c>
      <c r="G97" s="69"/>
      <c r="H97" s="50"/>
    </row>
    <row r="98" spans="1:8" ht="27" customHeight="1" x14ac:dyDescent="0.25">
      <c r="A98" s="311">
        <v>51</v>
      </c>
      <c r="B98" s="321" t="s">
        <v>103</v>
      </c>
      <c r="C98" s="346"/>
      <c r="D98" s="33" t="s">
        <v>179</v>
      </c>
      <c r="E98" s="16">
        <v>450000</v>
      </c>
      <c r="F98" s="16">
        <v>450000</v>
      </c>
      <c r="G98" s="65"/>
      <c r="H98" s="51"/>
    </row>
    <row r="99" spans="1:8" ht="60.75" customHeight="1" thickBot="1" x14ac:dyDescent="0.3">
      <c r="A99" s="312"/>
      <c r="B99" s="322"/>
      <c r="C99" s="347"/>
      <c r="D99" s="173" t="s">
        <v>192</v>
      </c>
      <c r="E99" s="19">
        <f>E98-(E98*20%)</f>
        <v>360000</v>
      </c>
      <c r="F99" s="19">
        <f>E99</f>
        <v>360000</v>
      </c>
      <c r="G99" s="66"/>
      <c r="H99" s="52"/>
    </row>
    <row r="100" spans="1:8" ht="30" customHeight="1" x14ac:dyDescent="0.25">
      <c r="A100" s="317">
        <v>52</v>
      </c>
      <c r="B100" s="324" t="s">
        <v>104</v>
      </c>
      <c r="C100" s="348"/>
      <c r="D100" s="58" t="s">
        <v>179</v>
      </c>
      <c r="E100" s="7">
        <v>175000</v>
      </c>
      <c r="F100" s="7">
        <v>175000</v>
      </c>
      <c r="G100" s="68"/>
      <c r="H100" s="49"/>
    </row>
    <row r="101" spans="1:8" ht="66" customHeight="1" thickBot="1" x14ac:dyDescent="0.3">
      <c r="A101" s="318"/>
      <c r="B101" s="325"/>
      <c r="C101" s="349"/>
      <c r="D101" s="172" t="s">
        <v>192</v>
      </c>
      <c r="E101" s="204">
        <f>E100-(E100*20%)</f>
        <v>140000</v>
      </c>
      <c r="F101" s="204">
        <f>E101</f>
        <v>140000</v>
      </c>
      <c r="G101" s="69"/>
      <c r="H101" s="50"/>
    </row>
    <row r="102" spans="1:8" ht="27.75" customHeight="1" x14ac:dyDescent="0.25">
      <c r="A102" s="311">
        <v>53</v>
      </c>
      <c r="B102" s="321" t="s">
        <v>105</v>
      </c>
      <c r="C102" s="346"/>
      <c r="D102" s="33" t="s">
        <v>179</v>
      </c>
      <c r="E102" s="16">
        <v>175000</v>
      </c>
      <c r="F102" s="16">
        <v>175000</v>
      </c>
      <c r="G102" s="65"/>
      <c r="H102" s="51"/>
    </row>
    <row r="103" spans="1:8" ht="68.25" customHeight="1" thickBot="1" x14ac:dyDescent="0.3">
      <c r="A103" s="312"/>
      <c r="B103" s="322"/>
      <c r="C103" s="347"/>
      <c r="D103" s="173" t="s">
        <v>192</v>
      </c>
      <c r="E103" s="19">
        <f>E102-(E102*20%)</f>
        <v>140000</v>
      </c>
      <c r="F103" s="19">
        <f>E103</f>
        <v>140000</v>
      </c>
      <c r="G103" s="66"/>
      <c r="H103" s="52"/>
    </row>
    <row r="104" spans="1:8" s="4" customFormat="1" ht="32.25" customHeight="1" x14ac:dyDescent="0.25">
      <c r="A104" s="359">
        <v>54</v>
      </c>
      <c r="B104" s="361" t="s">
        <v>106</v>
      </c>
      <c r="C104" s="363"/>
      <c r="D104" s="58" t="s">
        <v>179</v>
      </c>
      <c r="E104" s="7">
        <v>300000</v>
      </c>
      <c r="F104" s="7">
        <v>300000</v>
      </c>
      <c r="G104" s="73"/>
      <c r="H104" s="53"/>
    </row>
    <row r="105" spans="1:8" s="4" customFormat="1" ht="69.75" customHeight="1" thickBot="1" x14ac:dyDescent="0.3">
      <c r="A105" s="360"/>
      <c r="B105" s="362"/>
      <c r="C105" s="364"/>
      <c r="D105" s="172" t="s">
        <v>192</v>
      </c>
      <c r="E105" s="204">
        <f>E104-(E104*20%)</f>
        <v>240000</v>
      </c>
      <c r="F105" s="204">
        <f>E105</f>
        <v>240000</v>
      </c>
      <c r="G105" s="74"/>
      <c r="H105" s="54"/>
    </row>
    <row r="106" spans="1:8" s="4" customFormat="1" x14ac:dyDescent="0.25">
      <c r="A106" s="6"/>
      <c r="B106" s="75"/>
    </row>
    <row r="107" spans="1:8" s="4" customFormat="1" x14ac:dyDescent="0.25">
      <c r="A107" s="6"/>
    </row>
  </sheetData>
  <mergeCells count="152">
    <mergeCell ref="A104:A105"/>
    <mergeCell ref="B104:B105"/>
    <mergeCell ref="C104:C105"/>
    <mergeCell ref="D4:H4"/>
    <mergeCell ref="A100:A101"/>
    <mergeCell ref="B100:B101"/>
    <mergeCell ref="C100:C101"/>
    <mergeCell ref="A102:A103"/>
    <mergeCell ref="B102:B103"/>
    <mergeCell ref="C102:C103"/>
    <mergeCell ref="A96:A97"/>
    <mergeCell ref="B96:B97"/>
    <mergeCell ref="C96:C97"/>
    <mergeCell ref="A98:A99"/>
    <mergeCell ref="B98:B99"/>
    <mergeCell ref="C98:C99"/>
    <mergeCell ref="A92:A93"/>
    <mergeCell ref="B92:B93"/>
    <mergeCell ref="C92:C93"/>
    <mergeCell ref="A94:A95"/>
    <mergeCell ref="B94:B95"/>
    <mergeCell ref="B78:B79"/>
    <mergeCell ref="C78:C79"/>
    <mergeCell ref="A72:A73"/>
    <mergeCell ref="A1:H3"/>
    <mergeCell ref="C94:C95"/>
    <mergeCell ref="A88:A89"/>
    <mergeCell ref="B88:B89"/>
    <mergeCell ref="C88:C89"/>
    <mergeCell ref="A90:A91"/>
    <mergeCell ref="B90:B91"/>
    <mergeCell ref="C90:C91"/>
    <mergeCell ref="C80:C81"/>
    <mergeCell ref="C82:C83"/>
    <mergeCell ref="C84:C85"/>
    <mergeCell ref="A86:A87"/>
    <mergeCell ref="B86:B87"/>
    <mergeCell ref="C86:C87"/>
    <mergeCell ref="A80:A81"/>
    <mergeCell ref="B80:B81"/>
    <mergeCell ref="A82:A83"/>
    <mergeCell ref="B82:B83"/>
    <mergeCell ref="A84:A85"/>
    <mergeCell ref="B84:B85"/>
    <mergeCell ref="A76:A77"/>
    <mergeCell ref="B76:B77"/>
    <mergeCell ref="C76:C77"/>
    <mergeCell ref="A78:A79"/>
    <mergeCell ref="B72:B73"/>
    <mergeCell ref="C72:C73"/>
    <mergeCell ref="A74:A75"/>
    <mergeCell ref="B74:B75"/>
    <mergeCell ref="C74:C75"/>
    <mergeCell ref="A68:A69"/>
    <mergeCell ref="B68:B69"/>
    <mergeCell ref="C68:C69"/>
    <mergeCell ref="A70:A71"/>
    <mergeCell ref="B70:B71"/>
    <mergeCell ref="C70:C71"/>
    <mergeCell ref="A64:A65"/>
    <mergeCell ref="B64:B65"/>
    <mergeCell ref="C62:C63"/>
    <mergeCell ref="C64:C65"/>
    <mergeCell ref="A66:A67"/>
    <mergeCell ref="B66:B67"/>
    <mergeCell ref="C66:C67"/>
    <mergeCell ref="A62:A63"/>
    <mergeCell ref="B62:B63"/>
    <mergeCell ref="A58:A59"/>
    <mergeCell ref="B58:B59"/>
    <mergeCell ref="C58:C59"/>
    <mergeCell ref="A60:A61"/>
    <mergeCell ref="B60:B61"/>
    <mergeCell ref="C60:C61"/>
    <mergeCell ref="A56:A57"/>
    <mergeCell ref="B56:B57"/>
    <mergeCell ref="C56:C57"/>
    <mergeCell ref="A52:A53"/>
    <mergeCell ref="B52:B53"/>
    <mergeCell ref="C52:C53"/>
    <mergeCell ref="A54:A55"/>
    <mergeCell ref="B54:B55"/>
    <mergeCell ref="C54:C55"/>
    <mergeCell ref="A48:A49"/>
    <mergeCell ref="B48:B49"/>
    <mergeCell ref="A50:A51"/>
    <mergeCell ref="C48:C49"/>
    <mergeCell ref="B50:B51"/>
    <mergeCell ref="C50:C51"/>
    <mergeCell ref="A44:A45"/>
    <mergeCell ref="B44:B45"/>
    <mergeCell ref="C44:C45"/>
    <mergeCell ref="A46:A47"/>
    <mergeCell ref="B46:B47"/>
    <mergeCell ref="C46:C47"/>
    <mergeCell ref="A40:A41"/>
    <mergeCell ref="B40:B41"/>
    <mergeCell ref="C40:C41"/>
    <mergeCell ref="A42:A43"/>
    <mergeCell ref="B42:B43"/>
    <mergeCell ref="C42:C43"/>
    <mergeCell ref="A38:A39"/>
    <mergeCell ref="B38:B39"/>
    <mergeCell ref="C38:C39"/>
    <mergeCell ref="A34:A35"/>
    <mergeCell ref="B34:B35"/>
    <mergeCell ref="C34:C35"/>
    <mergeCell ref="A36:A37"/>
    <mergeCell ref="B36:B37"/>
    <mergeCell ref="C36:C37"/>
    <mergeCell ref="A30:A31"/>
    <mergeCell ref="B30:B31"/>
    <mergeCell ref="C30:C31"/>
    <mergeCell ref="A32:A33"/>
    <mergeCell ref="B32:B33"/>
    <mergeCell ref="C32:C33"/>
    <mergeCell ref="A28:A29"/>
    <mergeCell ref="B28:B29"/>
    <mergeCell ref="C28:C29"/>
    <mergeCell ref="A24:A25"/>
    <mergeCell ref="B24:B25"/>
    <mergeCell ref="C24:C25"/>
    <mergeCell ref="A26:A27"/>
    <mergeCell ref="B26:B27"/>
    <mergeCell ref="C26:C27"/>
    <mergeCell ref="A20:A21"/>
    <mergeCell ref="B20:B21"/>
    <mergeCell ref="C20:C21"/>
    <mergeCell ref="A22:A23"/>
    <mergeCell ref="B22:B23"/>
    <mergeCell ref="C22:C23"/>
    <mergeCell ref="A16:A17"/>
    <mergeCell ref="B16:B17"/>
    <mergeCell ref="C16:C17"/>
    <mergeCell ref="A18:A19"/>
    <mergeCell ref="B18:B19"/>
    <mergeCell ref="C18:C19"/>
    <mergeCell ref="A6:A7"/>
    <mergeCell ref="B6:B7"/>
    <mergeCell ref="C6:C7"/>
    <mergeCell ref="A12:A13"/>
    <mergeCell ref="B12:B13"/>
    <mergeCell ref="C12:C13"/>
    <mergeCell ref="A14:A15"/>
    <mergeCell ref="B14:B15"/>
    <mergeCell ref="C14:C15"/>
    <mergeCell ref="A8:A9"/>
    <mergeCell ref="B8:B9"/>
    <mergeCell ref="C8:C9"/>
    <mergeCell ref="A10:A11"/>
    <mergeCell ref="B10:B11"/>
    <mergeCell ref="C10:C11"/>
  </mergeCells>
  <pageMargins left="0.7" right="0.7" top="0.75" bottom="0.75" header="0.3" footer="0.3"/>
  <pageSetup scale="5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ESTRUCTURAS</vt:lpstr>
      <vt:lpstr>MOBILIARIO</vt:lpstr>
      <vt:lpstr>PERSONAL</vt:lpstr>
      <vt:lpstr>TRANSPORTE</vt:lpstr>
      <vt:lpstr>TÉCNICA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Susana Maria Bernal Linares</dc:creator>
  <cp:lastModifiedBy>Victoria Eugenia Gutierrez</cp:lastModifiedBy>
  <cp:lastPrinted>2019-04-11T23:50:39Z</cp:lastPrinted>
  <dcterms:created xsi:type="dcterms:W3CDTF">2018-08-10T14:37:44Z</dcterms:created>
  <dcterms:modified xsi:type="dcterms:W3CDTF">2019-05-14T19:35:55Z</dcterms:modified>
</cp:coreProperties>
</file>